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workbookProtection workbookPassword="CC9D" lockStructure="1"/>
  <bookViews>
    <workbookView xWindow="576" yWindow="180" windowWidth="10896" windowHeight="6036"/>
  </bookViews>
  <sheets>
    <sheet name="DONNEES" sheetId="1" r:id="rId1"/>
    <sheet name="correspondance" sheetId="2" state="hidden" r:id="rId2"/>
    <sheet name="menu" sheetId="3" state="hidden" r:id="rId3"/>
    <sheet name="calcul" sheetId="4" state="hidden" r:id="rId4"/>
    <sheet name="DEVIS" sheetId="5" r:id="rId5"/>
  </sheets>
  <externalReferences>
    <externalReference r:id="rId6"/>
    <externalReference r:id="rId7"/>
  </externalReferences>
  <definedNames>
    <definedName name="angle">menu!$A$2:$A$3</definedName>
    <definedName name="entraxe">menu!$D$2:$D$4</definedName>
    <definedName name="expo">menu!$E$2:$E$5</definedName>
    <definedName name="exposition">menu!$E$2:$E$4</definedName>
    <definedName name="fleche">menu!$B$2:$B$3</definedName>
    <definedName name="hauteur">menu!$G$2:$G$29</definedName>
    <definedName name="tasseaux">menu!$C$2:$C$4</definedName>
    <definedName name="zone">menu!$F$2:$F$6</definedName>
    <definedName name="_xlnm.Print_Area" localSheetId="4">DEVIS!$A$1:$I$79</definedName>
    <definedName name="_xlnm.Print_Area" localSheetId="0">DONNEES!$A$1:$L$26</definedName>
  </definedNames>
  <calcPr calcId="145621"/>
</workbook>
</file>

<file path=xl/calcChain.xml><?xml version="1.0" encoding="utf-8"?>
<calcChain xmlns="http://schemas.openxmlformats.org/spreadsheetml/2006/main">
  <c r="B69" i="5" l="1"/>
  <c r="AH3" i="2" l="1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2" i="2"/>
  <c r="AK34" i="2"/>
  <c r="AJ34" i="2"/>
  <c r="AD33" i="2"/>
  <c r="AC33" i="2"/>
  <c r="AI33" i="2" s="1"/>
  <c r="AL33" i="2" s="1"/>
  <c r="V33" i="2"/>
  <c r="AD32" i="2"/>
  <c r="AC32" i="2"/>
  <c r="V32" i="2"/>
  <c r="AD31" i="2"/>
  <c r="AC31" i="2"/>
  <c r="V31" i="2"/>
  <c r="AD30" i="2"/>
  <c r="AC30" i="2"/>
  <c r="V30" i="2"/>
  <c r="AD29" i="2"/>
  <c r="AC29" i="2"/>
  <c r="V29" i="2"/>
  <c r="AD28" i="2"/>
  <c r="AC28" i="2"/>
  <c r="V28" i="2"/>
  <c r="AC27" i="2"/>
  <c r="V27" i="2"/>
  <c r="AD26" i="2"/>
  <c r="AC26" i="2"/>
  <c r="V26" i="2"/>
  <c r="AC25" i="2"/>
  <c r="V25" i="2"/>
  <c r="AC24" i="2"/>
  <c r="V24" i="2"/>
  <c r="AD23" i="2"/>
  <c r="AC23" i="2"/>
  <c r="V23" i="2"/>
  <c r="AD22" i="2"/>
  <c r="AC22" i="2"/>
  <c r="V22" i="2"/>
  <c r="AC21" i="2"/>
  <c r="AD21" i="2" s="1"/>
  <c r="V21" i="2"/>
  <c r="AD20" i="2"/>
  <c r="AC20" i="2"/>
  <c r="V20" i="2"/>
  <c r="AD19" i="2"/>
  <c r="AC19" i="2"/>
  <c r="V19" i="2"/>
  <c r="AD18" i="2"/>
  <c r="AC18" i="2"/>
  <c r="V18" i="2"/>
  <c r="AD17" i="2"/>
  <c r="AC17" i="2"/>
  <c r="V17" i="2"/>
  <c r="AD16" i="2"/>
  <c r="AC16" i="2"/>
  <c r="V16" i="2"/>
  <c r="AD15" i="2"/>
  <c r="AC15" i="2"/>
  <c r="V15" i="2"/>
  <c r="AD14" i="2"/>
  <c r="AC14" i="2"/>
  <c r="V14" i="2"/>
  <c r="AD13" i="2"/>
  <c r="AC13" i="2"/>
  <c r="V13" i="2"/>
  <c r="AD12" i="2"/>
  <c r="AC12" i="2"/>
  <c r="V12" i="2"/>
  <c r="AC11" i="2"/>
  <c r="AD11" i="2" s="1"/>
  <c r="V11" i="2"/>
  <c r="AI10" i="2"/>
  <c r="AL10" i="2" s="1"/>
  <c r="AD10" i="2"/>
  <c r="AC10" i="2"/>
  <c r="V10" i="2"/>
  <c r="AI9" i="2"/>
  <c r="AL9" i="2" s="1"/>
  <c r="AC9" i="2"/>
  <c r="AD9" i="2" s="1"/>
  <c r="V9" i="2"/>
  <c r="AI8" i="2"/>
  <c r="AL8" i="2" s="1"/>
  <c r="AD8" i="2"/>
  <c r="AC8" i="2"/>
  <c r="V8" i="2"/>
  <c r="AC7" i="2"/>
  <c r="AD7" i="2" s="1"/>
  <c r="V7" i="2"/>
  <c r="AD6" i="2"/>
  <c r="AC6" i="2"/>
  <c r="V6" i="2"/>
  <c r="AC5" i="2"/>
  <c r="AD5" i="2" s="1"/>
  <c r="V5" i="2"/>
  <c r="AD4" i="2"/>
  <c r="AC4" i="2"/>
  <c r="V4" i="2"/>
  <c r="AD3" i="2"/>
  <c r="AC3" i="2"/>
  <c r="V3" i="2"/>
  <c r="AD2" i="2"/>
  <c r="AE2" i="2" s="1"/>
  <c r="AE34" i="2" s="1"/>
  <c r="AC2" i="2"/>
  <c r="AI2" i="2" s="1"/>
  <c r="AL2" i="2" s="1"/>
  <c r="V2" i="2"/>
  <c r="AI7" i="2" l="1"/>
  <c r="AL7" i="2" s="1"/>
  <c r="AI5" i="2"/>
  <c r="AL5" i="2" s="1"/>
  <c r="AM5" i="2" s="1"/>
  <c r="AI6" i="2"/>
  <c r="AL6" i="2" s="1"/>
  <c r="AI21" i="2"/>
  <c r="AL21" i="2" s="1"/>
  <c r="AI22" i="2"/>
  <c r="AL22" i="2" s="1"/>
  <c r="AI23" i="2"/>
  <c r="AL23" i="2" s="1"/>
  <c r="AM23" i="2" s="1"/>
  <c r="AI24" i="2"/>
  <c r="AL24" i="2" s="1"/>
  <c r="AI25" i="2"/>
  <c r="AL25" i="2" s="1"/>
  <c r="AI26" i="2"/>
  <c r="AL26" i="2" s="1"/>
  <c r="AI27" i="2"/>
  <c r="AL27" i="2" s="1"/>
  <c r="AM27" i="2" s="1"/>
  <c r="AI28" i="2"/>
  <c r="AL28" i="2" s="1"/>
  <c r="AI29" i="2"/>
  <c r="AL29" i="2" s="1"/>
  <c r="AI30" i="2"/>
  <c r="AL30" i="2" s="1"/>
  <c r="AI31" i="2"/>
  <c r="AL31" i="2" s="1"/>
  <c r="AM31" i="2" s="1"/>
  <c r="AI32" i="2"/>
  <c r="AL32" i="2" s="1"/>
  <c r="AD24" i="2"/>
  <c r="AD25" i="2"/>
  <c r="AI3" i="2"/>
  <c r="AL3" i="2" s="1"/>
  <c r="AM3" i="2" s="1"/>
  <c r="AI4" i="2"/>
  <c r="AL4" i="2" s="1"/>
  <c r="AI11" i="2"/>
  <c r="AL11" i="2" s="1"/>
  <c r="AI12" i="2"/>
  <c r="AL12" i="2" s="1"/>
  <c r="AI13" i="2"/>
  <c r="AL13" i="2" s="1"/>
  <c r="AM13" i="2" s="1"/>
  <c r="AI14" i="2"/>
  <c r="AL14" i="2" s="1"/>
  <c r="AI15" i="2"/>
  <c r="AL15" i="2" s="1"/>
  <c r="AI16" i="2"/>
  <c r="AL16" i="2" s="1"/>
  <c r="AI17" i="2"/>
  <c r="AL17" i="2" s="1"/>
  <c r="AM17" i="2" s="1"/>
  <c r="AI18" i="2"/>
  <c r="AL18" i="2" s="1"/>
  <c r="AI19" i="2"/>
  <c r="AL19" i="2" s="1"/>
  <c r="AI20" i="2"/>
  <c r="AL20" i="2" s="1"/>
  <c r="AD27" i="2"/>
  <c r="AM4" i="2"/>
  <c r="AN4" i="2"/>
  <c r="AM11" i="2"/>
  <c r="AN11" i="2"/>
  <c r="AM12" i="2"/>
  <c r="AN12" i="2"/>
  <c r="AM14" i="2"/>
  <c r="AN14" i="2"/>
  <c r="AM15" i="2"/>
  <c r="AN15" i="2"/>
  <c r="AM16" i="2"/>
  <c r="AN16" i="2"/>
  <c r="AM18" i="2"/>
  <c r="AN18" i="2"/>
  <c r="AM19" i="2"/>
  <c r="AN19" i="2"/>
  <c r="AM20" i="2"/>
  <c r="AN20" i="2"/>
  <c r="AM9" i="2"/>
  <c r="AN9" i="2"/>
  <c r="AM10" i="2"/>
  <c r="AN10" i="2"/>
  <c r="AM33" i="2"/>
  <c r="AN33" i="2"/>
  <c r="AM7" i="2"/>
  <c r="AN7" i="2"/>
  <c r="AM8" i="2"/>
  <c r="AN8" i="2"/>
  <c r="AM2" i="2"/>
  <c r="AN2" i="2"/>
  <c r="AM6" i="2"/>
  <c r="AN6" i="2"/>
  <c r="AM21" i="2"/>
  <c r="AN21" i="2"/>
  <c r="AM22" i="2"/>
  <c r="AN22" i="2"/>
  <c r="AM24" i="2"/>
  <c r="AN24" i="2"/>
  <c r="AM25" i="2"/>
  <c r="AN25" i="2"/>
  <c r="AM26" i="2"/>
  <c r="AN26" i="2"/>
  <c r="AM28" i="2"/>
  <c r="AN28" i="2"/>
  <c r="AM29" i="2"/>
  <c r="AN29" i="2"/>
  <c r="AM30" i="2"/>
  <c r="AN30" i="2"/>
  <c r="AM32" i="2"/>
  <c r="AN32" i="2"/>
  <c r="AN31" i="2" l="1"/>
  <c r="AN27" i="2"/>
  <c r="AN23" i="2"/>
  <c r="AN5" i="2"/>
  <c r="AN17" i="2"/>
  <c r="AN13" i="2"/>
  <c r="AN3" i="2"/>
  <c r="B70" i="5" l="1"/>
  <c r="B71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C43" i="5"/>
  <c r="D43" i="5"/>
  <c r="E43" i="5"/>
  <c r="F43" i="5"/>
  <c r="G43" i="5"/>
  <c r="H43" i="5"/>
  <c r="I43" i="5"/>
  <c r="B43" i="5"/>
  <c r="B44" i="5"/>
  <c r="C44" i="5"/>
  <c r="D44" i="5"/>
  <c r="E44" i="5"/>
  <c r="A59" i="5"/>
  <c r="A60" i="5"/>
  <c r="A61" i="5"/>
  <c r="A62" i="5"/>
  <c r="A63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44" i="5"/>
  <c r="R16" i="4" l="1"/>
  <c r="S19" i="4" l="1"/>
  <c r="T19" i="4"/>
  <c r="R23" i="4" l="1"/>
  <c r="R21" i="4"/>
  <c r="R19" i="4" s="1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I4" i="4"/>
  <c r="A2" i="4" l="1"/>
  <c r="B8" i="4" l="1"/>
  <c r="I2" i="4"/>
  <c r="O5" i="4" l="1"/>
  <c r="O3" i="4"/>
  <c r="O1" i="4"/>
  <c r="P5" i="4" l="1"/>
  <c r="P3" i="4"/>
  <c r="I8" i="4"/>
  <c r="G2" i="4"/>
  <c r="T16" i="4" s="1"/>
  <c r="P2" i="4" l="1"/>
  <c r="F8" i="4"/>
  <c r="E2" i="4"/>
  <c r="C8" i="4"/>
  <c r="D8" i="4"/>
  <c r="G8" i="4" s="1"/>
  <c r="E8" i="4"/>
  <c r="H8" i="4" s="1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J16" i="4" s="1"/>
  <c r="F28" i="1" s="1"/>
  <c r="F52" i="5" s="1"/>
  <c r="D16" i="4"/>
  <c r="E16" i="4"/>
  <c r="C17" i="4"/>
  <c r="J17" i="4" s="1"/>
  <c r="F29" i="1" s="1"/>
  <c r="F53" i="5" s="1"/>
  <c r="D17" i="4"/>
  <c r="E17" i="4"/>
  <c r="C18" i="4"/>
  <c r="J18" i="4" s="1"/>
  <c r="F30" i="1" s="1"/>
  <c r="F54" i="5" s="1"/>
  <c r="D18" i="4"/>
  <c r="E18" i="4"/>
  <c r="C19" i="4"/>
  <c r="J19" i="4" s="1"/>
  <c r="F31" i="1" s="1"/>
  <c r="F55" i="5" s="1"/>
  <c r="D19" i="4"/>
  <c r="E19" i="4"/>
  <c r="C20" i="4"/>
  <c r="J20" i="4" s="1"/>
  <c r="F32" i="1" s="1"/>
  <c r="F56" i="5" s="1"/>
  <c r="D20" i="4"/>
  <c r="E20" i="4"/>
  <c r="C21" i="4"/>
  <c r="J21" i="4" s="1"/>
  <c r="F33" i="1" s="1"/>
  <c r="F57" i="5" s="1"/>
  <c r="D21" i="4"/>
  <c r="E21" i="4"/>
  <c r="C22" i="4"/>
  <c r="J22" i="4" s="1"/>
  <c r="F34" i="1" s="1"/>
  <c r="F58" i="5" s="1"/>
  <c r="D22" i="4"/>
  <c r="E22" i="4"/>
  <c r="C23" i="4"/>
  <c r="J23" i="4" s="1"/>
  <c r="F35" i="1" s="1"/>
  <c r="F59" i="5" s="1"/>
  <c r="D23" i="4"/>
  <c r="E23" i="4"/>
  <c r="C24" i="4"/>
  <c r="J24" i="4" s="1"/>
  <c r="F36" i="1" s="1"/>
  <c r="F60" i="5" s="1"/>
  <c r="D24" i="4"/>
  <c r="E24" i="4"/>
  <c r="C25" i="4"/>
  <c r="J25" i="4" s="1"/>
  <c r="F37" i="1" s="1"/>
  <c r="F61" i="5" s="1"/>
  <c r="D25" i="4"/>
  <c r="E25" i="4"/>
  <c r="C26" i="4"/>
  <c r="J26" i="4" s="1"/>
  <c r="F38" i="1" s="1"/>
  <c r="F62" i="5" s="1"/>
  <c r="D26" i="4"/>
  <c r="E26" i="4"/>
  <c r="C27" i="4"/>
  <c r="J27" i="4" s="1"/>
  <c r="F39" i="1" s="1"/>
  <c r="F63" i="5" s="1"/>
  <c r="D27" i="4"/>
  <c r="E27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I23" i="4" l="1"/>
  <c r="F23" i="4"/>
  <c r="I19" i="4"/>
  <c r="F19" i="4"/>
  <c r="I11" i="4"/>
  <c r="F11" i="4"/>
  <c r="I26" i="4"/>
  <c r="F26" i="4"/>
  <c r="F22" i="4"/>
  <c r="I22" i="4"/>
  <c r="I18" i="4"/>
  <c r="F18" i="4"/>
  <c r="I14" i="4"/>
  <c r="F14" i="4"/>
  <c r="F10" i="4"/>
  <c r="I10" i="4"/>
  <c r="I25" i="4"/>
  <c r="F25" i="4"/>
  <c r="I21" i="4"/>
  <c r="F21" i="4"/>
  <c r="I17" i="4"/>
  <c r="F17" i="4"/>
  <c r="I13" i="4"/>
  <c r="F13" i="4"/>
  <c r="I9" i="4"/>
  <c r="F9" i="4"/>
  <c r="I27" i="4"/>
  <c r="F27" i="4"/>
  <c r="F15" i="4"/>
  <c r="I15" i="4"/>
  <c r="I24" i="4"/>
  <c r="F24" i="4"/>
  <c r="I20" i="4"/>
  <c r="F20" i="4"/>
  <c r="I16" i="4"/>
  <c r="F16" i="4"/>
  <c r="I12" i="4"/>
  <c r="F12" i="4"/>
  <c r="A4" i="4"/>
  <c r="B4" i="4" s="1"/>
  <c r="B2" i="4" s="1"/>
  <c r="J2" i="4" s="1"/>
  <c r="F17" i="1" l="1"/>
  <c r="T2" i="4"/>
  <c r="G24" i="4"/>
  <c r="H24" i="4"/>
  <c r="G18" i="4"/>
  <c r="H18" i="4"/>
  <c r="G26" i="4"/>
  <c r="H26" i="4"/>
  <c r="G19" i="4"/>
  <c r="H19" i="4"/>
  <c r="H21" i="4"/>
  <c r="G21" i="4"/>
  <c r="G16" i="4"/>
  <c r="H16" i="4"/>
  <c r="G27" i="4"/>
  <c r="H27" i="4"/>
  <c r="G22" i="4"/>
  <c r="H22" i="4"/>
  <c r="G20" i="4"/>
  <c r="H20" i="4"/>
  <c r="H17" i="4"/>
  <c r="G17" i="4"/>
  <c r="H25" i="4"/>
  <c r="G25" i="4"/>
  <c r="G23" i="4"/>
  <c r="H23" i="4"/>
  <c r="G13" i="4"/>
  <c r="H13" i="4"/>
  <c r="G12" i="4"/>
  <c r="H12" i="4"/>
  <c r="G11" i="4"/>
  <c r="H11" i="4"/>
  <c r="H10" i="4"/>
  <c r="G10" i="4"/>
  <c r="G9" i="4"/>
  <c r="H9" i="4"/>
  <c r="G15" i="4"/>
  <c r="H15" i="4"/>
  <c r="G14" i="4"/>
  <c r="H14" i="4"/>
  <c r="K2" i="4"/>
  <c r="L4" i="4" s="1"/>
  <c r="K4" i="4" s="1"/>
  <c r="C2" i="4"/>
  <c r="C4" i="4"/>
  <c r="F16" i="1" s="1"/>
  <c r="C71" i="5" s="1"/>
  <c r="H69" i="5" l="1"/>
  <c r="H71" i="5"/>
  <c r="L3" i="4"/>
  <c r="F4" i="4" s="1"/>
  <c r="G4" i="4" s="1"/>
  <c r="G5" i="4" s="1"/>
  <c r="L25" i="4" s="1"/>
  <c r="R2" i="4" l="1"/>
  <c r="L8" i="4"/>
  <c r="H20" i="1" s="1"/>
  <c r="H44" i="5" s="1"/>
  <c r="L19" i="4"/>
  <c r="H31" i="1" s="1"/>
  <c r="H55" i="5" s="1"/>
  <c r="L22" i="4"/>
  <c r="H34" i="1" s="1"/>
  <c r="H58" i="5" s="1"/>
  <c r="L27" i="4"/>
  <c r="H39" i="1" s="1"/>
  <c r="H63" i="5" s="1"/>
  <c r="L12" i="4"/>
  <c r="H24" i="1" s="1"/>
  <c r="H48" i="5" s="1"/>
  <c r="L15" i="4"/>
  <c r="H27" i="1" s="1"/>
  <c r="H51" i="5" s="1"/>
  <c r="L18" i="4"/>
  <c r="H30" i="1" s="1"/>
  <c r="H54" i="5" s="1"/>
  <c r="L21" i="4"/>
  <c r="H33" i="1" s="1"/>
  <c r="H57" i="5" s="1"/>
  <c r="L20" i="4"/>
  <c r="H32" i="1" s="1"/>
  <c r="H56" i="5" s="1"/>
  <c r="L9" i="4"/>
  <c r="H21" i="1" s="1"/>
  <c r="H45" i="5" s="1"/>
  <c r="L24" i="4"/>
  <c r="H36" i="1" s="1"/>
  <c r="H60" i="5" s="1"/>
  <c r="L17" i="4"/>
  <c r="H29" i="1" s="1"/>
  <c r="H53" i="5" s="1"/>
  <c r="L11" i="4"/>
  <c r="H23" i="1" s="1"/>
  <c r="H47" i="5" s="1"/>
  <c r="L10" i="4"/>
  <c r="H22" i="1" s="1"/>
  <c r="H46" i="5" s="1"/>
  <c r="L26" i="4"/>
  <c r="H38" i="1" s="1"/>
  <c r="H62" i="5" s="1"/>
  <c r="L16" i="4"/>
  <c r="H28" i="1" s="1"/>
  <c r="H52" i="5" s="1"/>
  <c r="L13" i="4"/>
  <c r="H25" i="1" s="1"/>
  <c r="H49" i="5" s="1"/>
  <c r="L23" i="4"/>
  <c r="H35" i="1" s="1"/>
  <c r="H59" i="5" s="1"/>
  <c r="G16" i="1"/>
  <c r="C69" i="5" s="1"/>
  <c r="L14" i="4"/>
  <c r="H26" i="1" s="1"/>
  <c r="H50" i="5" s="1"/>
  <c r="F5" i="4"/>
  <c r="K19" i="4" s="1"/>
  <c r="G31" i="1" s="1"/>
  <c r="G55" i="5" s="1"/>
  <c r="J15" i="4"/>
  <c r="F27" i="1" s="1"/>
  <c r="F51" i="5" s="1"/>
  <c r="J14" i="4"/>
  <c r="F26" i="1" s="1"/>
  <c r="F50" i="5" s="1"/>
  <c r="J13" i="4"/>
  <c r="F25" i="1" s="1"/>
  <c r="F49" i="5" s="1"/>
  <c r="H37" i="1"/>
  <c r="H61" i="5" s="1"/>
  <c r="K27" i="4" l="1"/>
  <c r="G39" i="1" s="1"/>
  <c r="G63" i="5" s="1"/>
  <c r="K21" i="4"/>
  <c r="G33" i="1" s="1"/>
  <c r="G57" i="5" s="1"/>
  <c r="K14" i="4"/>
  <c r="G26" i="1" s="1"/>
  <c r="G50" i="5" s="1"/>
  <c r="K23" i="4"/>
  <c r="G35" i="1" s="1"/>
  <c r="G59" i="5" s="1"/>
  <c r="K17" i="4"/>
  <c r="G29" i="1" s="1"/>
  <c r="G53" i="5" s="1"/>
  <c r="K15" i="4"/>
  <c r="G27" i="1" s="1"/>
  <c r="G51" i="5" s="1"/>
  <c r="K24" i="4"/>
  <c r="G36" i="1" s="1"/>
  <c r="G60" i="5" s="1"/>
  <c r="K25" i="4"/>
  <c r="G37" i="1" s="1"/>
  <c r="G61" i="5" s="1"/>
  <c r="H16" i="1"/>
  <c r="C70" i="5" s="1"/>
  <c r="K26" i="4"/>
  <c r="G38" i="1" s="1"/>
  <c r="G62" i="5" s="1"/>
  <c r="M19" i="4"/>
  <c r="I31" i="1" s="1"/>
  <c r="I55" i="5" s="1"/>
  <c r="K16" i="4"/>
  <c r="G28" i="1" s="1"/>
  <c r="G52" i="5" s="1"/>
  <c r="K18" i="4"/>
  <c r="G30" i="1" s="1"/>
  <c r="G54" i="5" s="1"/>
  <c r="K10" i="4"/>
  <c r="J10" i="4" s="1"/>
  <c r="F22" i="1" s="1"/>
  <c r="F46" i="5" s="1"/>
  <c r="K12" i="4"/>
  <c r="M12" i="4" s="1"/>
  <c r="I24" i="1" s="1"/>
  <c r="I48" i="5" s="1"/>
  <c r="K11" i="4"/>
  <c r="M11" i="4" s="1"/>
  <c r="I23" i="1" s="1"/>
  <c r="I47" i="5" s="1"/>
  <c r="K8" i="4"/>
  <c r="G20" i="1" s="1"/>
  <c r="G44" i="5" s="1"/>
  <c r="K9" i="4"/>
  <c r="J9" i="4" s="1"/>
  <c r="F21" i="1" s="1"/>
  <c r="F45" i="5" s="1"/>
  <c r="K20" i="4"/>
  <c r="G32" i="1" s="1"/>
  <c r="G56" i="5" s="1"/>
  <c r="K22" i="4"/>
  <c r="G34" i="1" s="1"/>
  <c r="G58" i="5" s="1"/>
  <c r="K13" i="4"/>
  <c r="M13" i="4" s="1"/>
  <c r="I25" i="1" s="1"/>
  <c r="I49" i="5" s="1"/>
  <c r="J12" i="4"/>
  <c r="F24" i="1" s="1"/>
  <c r="F48" i="5" s="1"/>
  <c r="M27" i="4" l="1"/>
  <c r="I39" i="1" s="1"/>
  <c r="I63" i="5" s="1"/>
  <c r="M16" i="4"/>
  <c r="I28" i="1" s="1"/>
  <c r="I52" i="5" s="1"/>
  <c r="M15" i="4"/>
  <c r="I27" i="1" s="1"/>
  <c r="I51" i="5" s="1"/>
  <c r="M25" i="4"/>
  <c r="I37" i="1" s="1"/>
  <c r="I61" i="5" s="1"/>
  <c r="M26" i="4"/>
  <c r="I38" i="1" s="1"/>
  <c r="I62" i="5" s="1"/>
  <c r="M21" i="4"/>
  <c r="I33" i="1" s="1"/>
  <c r="I57" i="5" s="1"/>
  <c r="G21" i="1"/>
  <c r="G45" i="5" s="1"/>
  <c r="G24" i="1"/>
  <c r="G48" i="5" s="1"/>
  <c r="M24" i="4"/>
  <c r="I36" i="1" s="1"/>
  <c r="I60" i="5" s="1"/>
  <c r="M18" i="4"/>
  <c r="I30" i="1" s="1"/>
  <c r="I54" i="5" s="1"/>
  <c r="M23" i="4"/>
  <c r="I35" i="1" s="1"/>
  <c r="I59" i="5" s="1"/>
  <c r="G23" i="1"/>
  <c r="G47" i="5" s="1"/>
  <c r="M20" i="4"/>
  <c r="I32" i="1" s="1"/>
  <c r="I56" i="5" s="1"/>
  <c r="M14" i="4"/>
  <c r="I26" i="1" s="1"/>
  <c r="I50" i="5" s="1"/>
  <c r="M17" i="4"/>
  <c r="I29" i="1" s="1"/>
  <c r="I53" i="5" s="1"/>
  <c r="M8" i="4"/>
  <c r="I20" i="1" s="1"/>
  <c r="I44" i="5" s="1"/>
  <c r="G25" i="1"/>
  <c r="G49" i="5" s="1"/>
  <c r="J8" i="4"/>
  <c r="F20" i="1" s="1"/>
  <c r="F44" i="5" s="1"/>
  <c r="G22" i="1"/>
  <c r="G46" i="5" s="1"/>
  <c r="M10" i="4"/>
  <c r="I22" i="1" s="1"/>
  <c r="I46" i="5" s="1"/>
  <c r="M9" i="4"/>
  <c r="I21" i="1" s="1"/>
  <c r="I45" i="5" s="1"/>
  <c r="M22" i="4"/>
  <c r="I34" i="1" s="1"/>
  <c r="I58" i="5" s="1"/>
  <c r="J11" i="4"/>
  <c r="F23" i="1" s="1"/>
  <c r="F47" i="5" s="1"/>
  <c r="I40" i="1" l="1"/>
  <c r="C72" i="5" s="1"/>
  <c r="H70" i="5" s="1"/>
  <c r="H72" i="5" s="1"/>
  <c r="H77" i="5" s="1"/>
</calcChain>
</file>

<file path=xl/comments1.xml><?xml version="1.0" encoding="utf-8"?>
<comments xmlns="http://schemas.openxmlformats.org/spreadsheetml/2006/main">
  <authors>
    <author>Servan LAMBLA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 ; SI INCONNU, CONSULTER LES FT DU FABRIQUANT SUR LE WEB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 ; DONNEE RENSEIGNEE PAR LE CLIENT ; SI INCONNU, CONSULTER LES FT DU FABRIQUANT SUR LE WEB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 - SINON VOIR CARTE CI-DESSOUS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C62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>Servan LAMBLA:</t>
        </r>
        <r>
          <rPr>
            <sz val="9"/>
            <color indexed="81"/>
            <rFont val="Tahoma"/>
            <family val="2"/>
          </rPr>
          <t xml:space="preserve">
DONNEE RENSEIGNEE PAR LE CLIENT</t>
        </r>
      </text>
    </comment>
  </commentList>
</comments>
</file>

<file path=xl/sharedStrings.xml><?xml version="1.0" encoding="utf-8"?>
<sst xmlns="http://schemas.openxmlformats.org/spreadsheetml/2006/main" count="343" uniqueCount="223">
  <si>
    <t>Epaisseur de l'isolant (mm)</t>
  </si>
  <si>
    <t>nombre de tasseaux (0,1,2)</t>
  </si>
  <si>
    <t>1mm</t>
  </si>
  <si>
    <t>charge (daN)</t>
  </si>
  <si>
    <t>3mm</t>
  </si>
  <si>
    <t>Facade 1</t>
  </si>
  <si>
    <t>Facade 2</t>
  </si>
  <si>
    <t>Facade 3</t>
  </si>
  <si>
    <t>Facade 4</t>
  </si>
  <si>
    <t>Facade 5</t>
  </si>
  <si>
    <t>Facade 6</t>
  </si>
  <si>
    <t>Facade 7</t>
  </si>
  <si>
    <t>Facade 8</t>
  </si>
  <si>
    <t>Facade 9</t>
  </si>
  <si>
    <t>Facade 10</t>
  </si>
  <si>
    <t>Facade 11</t>
  </si>
  <si>
    <t>Facade 12</t>
  </si>
  <si>
    <t>Facade 13</t>
  </si>
  <si>
    <t>Facade 14</t>
  </si>
  <si>
    <t>Facade 15</t>
  </si>
  <si>
    <t>Facade 16</t>
  </si>
  <si>
    <t>Facade 17</t>
  </si>
  <si>
    <t>Facade 18</t>
  </si>
  <si>
    <t>Facade 19</t>
  </si>
  <si>
    <t>Facade 20</t>
  </si>
  <si>
    <t>épaisseur tasseaux 1</t>
  </si>
  <si>
    <t>épaisseur tasseaux 2</t>
  </si>
  <si>
    <t>angle à 
gauche</t>
  </si>
  <si>
    <t>angle à 
droite</t>
  </si>
  <si>
    <t>angle</t>
  </si>
  <si>
    <t>fleche</t>
  </si>
  <si>
    <t>tasseaux</t>
  </si>
  <si>
    <t>entraxe</t>
  </si>
  <si>
    <t>largeur (m)</t>
  </si>
  <si>
    <t>hauteur (m)</t>
  </si>
  <si>
    <t>nb chev
 centraux</t>
  </si>
  <si>
    <t>Epaisseur
 de l'isolant (mm)</t>
  </si>
  <si>
    <t xml:space="preserve">taille 
equ </t>
  </si>
  <si>
    <t>taille equerre
théo</t>
  </si>
  <si>
    <t>nunmero colonne 
val def (1-3)</t>
  </si>
  <si>
    <t>equ ds 
base</t>
  </si>
  <si>
    <t>Longueur patte besoin (mm)</t>
  </si>
  <si>
    <t>lg patte obtenue</t>
  </si>
  <si>
    <t>ref</t>
  </si>
  <si>
    <t>nb chev
droite</t>
  </si>
  <si>
    <t>nb chev
gauche</t>
  </si>
  <si>
    <t>existance 
facade</t>
  </si>
  <si>
    <t>resistance admis
equerre</t>
  </si>
  <si>
    <t>entraxe hori
théo</t>
  </si>
  <si>
    <t>poids /m²</t>
  </si>
  <si>
    <t>déport réel</t>
  </si>
  <si>
    <t>total deport 
tasseaux</t>
  </si>
  <si>
    <t>coef deport</t>
  </si>
  <si>
    <t>poids basting kg/m</t>
  </si>
  <si>
    <t>la masse des tasseaux n'est pas prise en compte</t>
  </si>
  <si>
    <t>entaxe réel</t>
  </si>
  <si>
    <t>entraxe hori
coté théo</t>
  </si>
  <si>
    <t>entraxe hori
conseillé</t>
  </si>
  <si>
    <t>nb equerre/
chevron</t>
  </si>
  <si>
    <t>nb equerre
chev angle</t>
  </si>
  <si>
    <t>nb equerre 
facade</t>
  </si>
  <si>
    <t>entaxe theo 
juste poids</t>
  </si>
  <si>
    <t>entaxe theo 
juste vent</t>
  </si>
  <si>
    <t xml:space="preserve">resistance admissible </t>
  </si>
  <si>
    <t>pres dynamique vent</t>
  </si>
  <si>
    <t>H (m)</t>
  </si>
  <si>
    <t>coefficient multiplicateur</t>
  </si>
  <si>
    <t>hauteur batiment</t>
  </si>
  <si>
    <t>zone</t>
  </si>
  <si>
    <t>normale</t>
  </si>
  <si>
    <t>extrême</t>
  </si>
  <si>
    <t>zone 1</t>
  </si>
  <si>
    <t>zone 2</t>
  </si>
  <si>
    <t>zone 3</t>
  </si>
  <si>
    <t>zone 4</t>
  </si>
  <si>
    <t>zone 5</t>
  </si>
  <si>
    <t>normal</t>
  </si>
  <si>
    <t>exposé</t>
  </si>
  <si>
    <t>Zone 1</t>
  </si>
  <si>
    <t xml:space="preserve"> Zone 2</t>
  </si>
  <si>
    <t xml:space="preserve"> Zone 3 </t>
  </si>
  <si>
    <t xml:space="preserve">Zone 4 </t>
  </si>
  <si>
    <t>Zone 5</t>
  </si>
  <si>
    <t>attention altitude&lt;1000m</t>
  </si>
  <si>
    <t>pas d'effet de masque</t>
  </si>
  <si>
    <t>sans effet de dimension et forme</t>
  </si>
  <si>
    <t>exposition</t>
  </si>
  <si>
    <t>zone de vent</t>
  </si>
  <si>
    <t>Exposition</t>
  </si>
  <si>
    <t>pres dyn de base zone</t>
  </si>
  <si>
    <t>coef d'exposition</t>
  </si>
  <si>
    <t>coef hauteur batiment</t>
  </si>
  <si>
    <t>entraxe max vent</t>
  </si>
  <si>
    <t>coef depression /pression</t>
  </si>
  <si>
    <t>protègé</t>
  </si>
  <si>
    <t>decal fix</t>
  </si>
  <si>
    <t>decalage</t>
  </si>
  <si>
    <t>deport equ
de ref</t>
  </si>
  <si>
    <t>resitance corrigée</t>
  </si>
  <si>
    <t>N° de façade</t>
  </si>
  <si>
    <t>Largeur (m)</t>
  </si>
  <si>
    <t>Hauteur (m)</t>
  </si>
  <si>
    <t>Zone de vent</t>
  </si>
  <si>
    <t>Hauteur du batiment (m)</t>
  </si>
  <si>
    <t>Entraxe verticale principale entre chevrons (cm)</t>
  </si>
  <si>
    <t>RAPPEL DES DONNEES :</t>
  </si>
  <si>
    <t>CODE REF FM
A MARQUE</t>
  </si>
  <si>
    <t>CODE ART FM
A MARQUE</t>
  </si>
  <si>
    <t>Equerre ABC (C=50)</t>
  </si>
  <si>
    <t>cote B variable</t>
  </si>
  <si>
    <t>QTE annuel Scell-it</t>
  </si>
  <si>
    <t>CR std atelier série 10000 pcs</t>
  </si>
  <si>
    <t>prix de vente pour Scell-it au 100</t>
  </si>
  <si>
    <t>CA Scell-it</t>
  </si>
  <si>
    <t>QTE annuel F&amp;M</t>
  </si>
  <si>
    <t>prix brut F&amp;M au 100</t>
  </si>
  <si>
    <t>prix remisé --%</t>
  </si>
  <si>
    <t>CA F&amp;M</t>
  </si>
  <si>
    <t>CA total</t>
  </si>
  <si>
    <t>L</t>
  </si>
  <si>
    <t>PU</t>
  </si>
  <si>
    <t>QSFEQ2001</t>
  </si>
  <si>
    <t>largeur feuillard = A = 60mm</t>
  </si>
  <si>
    <t>8 trous</t>
  </si>
  <si>
    <t>(€/100)</t>
  </si>
  <si>
    <t>QSFEQ2002</t>
  </si>
  <si>
    <t>10 trous</t>
  </si>
  <si>
    <t>Total</t>
  </si>
  <si>
    <t>RefArt</t>
  </si>
  <si>
    <t>Conditionnement</t>
  </si>
  <si>
    <t>Quantité par carton :</t>
  </si>
  <si>
    <t>Prix brut carton</t>
  </si>
  <si>
    <t>Angle sortant</t>
  </si>
  <si>
    <t>Angle rentrant</t>
  </si>
  <si>
    <t>Quantité nécessaire :</t>
  </si>
  <si>
    <t>Nombre d'équerres par chevron en partie pleine :</t>
  </si>
  <si>
    <t>Nombre total d'équerres sur la façade :</t>
  </si>
  <si>
    <t>DEVIS</t>
  </si>
  <si>
    <t>Remise accordée par le représentant F&amp;M (en %) :</t>
  </si>
  <si>
    <t>Largeur des chevrons (mm) :</t>
  </si>
  <si>
    <t>Hauteur des chevrons (mm) :</t>
  </si>
  <si>
    <t>DONNEES SUR LES MATERIAUX UTILISES - A RENSEIGNER OBLIGATOIREMENT</t>
  </si>
  <si>
    <t>CARACTERISTIQUES DES FACADES - A RENSEIGNER OBLIGATOIREMENT</t>
  </si>
  <si>
    <t>RESULTATS - NE PAS TOUCHER</t>
  </si>
  <si>
    <t>Nombre d'équerres par chevron en angle :</t>
  </si>
  <si>
    <t>*Exemple de réalisation</t>
  </si>
  <si>
    <t>QSFEQ2101/C40</t>
  </si>
  <si>
    <t>QSFEQ2101/C50</t>
  </si>
  <si>
    <t>QSFEQ2101/C60</t>
  </si>
  <si>
    <t>QSFEQ2101/C70</t>
  </si>
  <si>
    <t>QSFEQ2102/C80</t>
  </si>
  <si>
    <t>QSFEQ2102/C90</t>
  </si>
  <si>
    <t>QSFEQ2102/C100</t>
  </si>
  <si>
    <t>QSFEQ2102/C110</t>
  </si>
  <si>
    <t>QSFEQ2102/C130</t>
  </si>
  <si>
    <t>QSFEQ2102/C140</t>
  </si>
  <si>
    <t>QSFEQ2102/C150</t>
  </si>
  <si>
    <t>QSFEQ2102/C160</t>
  </si>
  <si>
    <t>QSFEQ2102/C170</t>
  </si>
  <si>
    <t>QSFEQ2102/C180</t>
  </si>
  <si>
    <t>QSFEQ2102/C190</t>
  </si>
  <si>
    <t>QSFEQ2102/C210</t>
  </si>
  <si>
    <t>QSFEQ2102/C230</t>
  </si>
  <si>
    <t>QSFEQ2102/C240</t>
  </si>
  <si>
    <t>QSFEQ2102/C250</t>
  </si>
  <si>
    <t>QSFEQ2102/C260</t>
  </si>
  <si>
    <t>QSFEQ2102/C270</t>
  </si>
  <si>
    <t>QSFEQ2102/C280</t>
  </si>
  <si>
    <t>QSFEQ2102/C290</t>
  </si>
  <si>
    <t>QSFEQ2102/C300</t>
  </si>
  <si>
    <t>QSFEQ2102/C310</t>
  </si>
  <si>
    <t>QSFEQ2102/C330</t>
  </si>
  <si>
    <t>QSFEQ2102/C340</t>
  </si>
  <si>
    <t>QSFEQ2102/C350</t>
  </si>
  <si>
    <t>QSFEQ2102/C200</t>
  </si>
  <si>
    <t>QSFEQ2102/C120</t>
  </si>
  <si>
    <t>QSFEQ2102/C220</t>
  </si>
  <si>
    <t>QSFEQ2102/C320</t>
  </si>
  <si>
    <t>Epaisseur du bardage (mm)</t>
  </si>
  <si>
    <t>Flèche max. admise (mm)</t>
  </si>
  <si>
    <t>Nombre de tasseaux (0,1,2) :</t>
  </si>
  <si>
    <t>Epaisseur tasseaux 1 (mm) :</t>
  </si>
  <si>
    <t>Epaisseur tasseaux 2 (mm) :</t>
  </si>
  <si>
    <t>Nombre d'équerres nécessaire :</t>
  </si>
  <si>
    <t>Code FM Equerre :</t>
  </si>
  <si>
    <t>Client final :</t>
  </si>
  <si>
    <t>Client distributeur :</t>
  </si>
  <si>
    <t>Référence affaire :</t>
  </si>
  <si>
    <t>Adresse de livraison :</t>
  </si>
  <si>
    <t>Délai souhaité :</t>
  </si>
  <si>
    <t>Descriptif rapide de l'offre :</t>
  </si>
  <si>
    <t>Etude de sécurisation d'un site SNCF contre les chutes de hauteur du toit</t>
  </si>
  <si>
    <t>ZA Les Bredollières - BP 171</t>
  </si>
  <si>
    <t>Conditions de règlement :</t>
  </si>
  <si>
    <t>Acompte à la commande (%)</t>
  </si>
  <si>
    <t>Délai de règlement</t>
  </si>
  <si>
    <t>Non</t>
  </si>
  <si>
    <t>45 jours date de facture</t>
  </si>
  <si>
    <t>Date de devis :</t>
  </si>
  <si>
    <t>DEVIS N° :</t>
  </si>
  <si>
    <t>Devis valable 3 mois à compter de ce jour</t>
  </si>
  <si>
    <t>Entraxe horizontal en partie pleine MAXIMUM (cm) :</t>
  </si>
  <si>
    <t>Entraxe horizontal en angle MAXIMUM (cm) :</t>
  </si>
  <si>
    <t>Nombre de cartons nécessaire :</t>
  </si>
  <si>
    <t>Prix brut HT du carton :</t>
  </si>
  <si>
    <t>Prix brut HT total :</t>
  </si>
  <si>
    <t>PRIX TOTAL REMISE HT :</t>
  </si>
  <si>
    <t>*Si aucun angle, saisir "Angle rentrant"</t>
  </si>
  <si>
    <t>Type d'angle à gauche*</t>
  </si>
  <si>
    <t>Type d'angle à droite*</t>
  </si>
  <si>
    <t xml:space="preserve"> </t>
  </si>
  <si>
    <t>NORMALE</t>
  </si>
  <si>
    <t>PROTÉGÉE</t>
  </si>
  <si>
    <t>EXPOSÉE</t>
  </si>
  <si>
    <t>ZONE 1</t>
  </si>
  <si>
    <t>ZONE 2</t>
  </si>
  <si>
    <t>ZONE 3</t>
  </si>
  <si>
    <t>ZONE 4</t>
  </si>
  <si>
    <t>ZONE 5</t>
  </si>
  <si>
    <t>Poids du bardage (kg/m²)</t>
  </si>
  <si>
    <t>Entraxe horizontal conseillé (cm)</t>
  </si>
  <si>
    <t>Exemple :</t>
  </si>
  <si>
    <t>*Aide sous le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</si>
</sst>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0.0000"/>
    <numFmt numFmtId="166" formatCode="_-* #,##0.00\ [$€-40C]_-;\-* #,##0.00\ [$€-40C]_-;_-* &quot;-&quot;??\ [$€-40C]_-;_-@_-"/>
    <numFmt numFmtId="167" formatCode="[$-40C]d\-mmm\-yyyy;@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36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1" fillId="0" borderId="1" xfId="0" applyFont="1" applyBorder="1" applyProtection="1">
      <protection hidden="1"/>
    </xf>
    <xf numFmtId="0" fontId="0" fillId="0" borderId="4" xfId="0" applyBorder="1" applyAlignment="1" applyProtection="1">
      <alignment horizontal="center" wrapText="1"/>
      <protection hidden="1"/>
    </xf>
    <xf numFmtId="0" fontId="0" fillId="0" borderId="19" xfId="0" applyBorder="1" applyAlignment="1" applyProtection="1">
      <alignment horizontal="center" wrapText="1"/>
      <protection hidden="1"/>
    </xf>
    <xf numFmtId="165" fontId="0" fillId="0" borderId="19" xfId="0" applyNumberFormat="1" applyBorder="1" applyAlignment="1" applyProtection="1">
      <alignment horizontal="center" wrapText="1"/>
      <protection hidden="1"/>
    </xf>
    <xf numFmtId="0" fontId="0" fillId="0" borderId="19" xfId="0" applyBorder="1" applyAlignment="1" applyProtection="1">
      <alignment wrapText="1"/>
      <protection hidden="1"/>
    </xf>
    <xf numFmtId="0" fontId="0" fillId="0" borderId="20" xfId="0" applyBorder="1" applyAlignment="1" applyProtection="1">
      <alignment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0" fillId="6" borderId="1" xfId="0" applyFill="1" applyBorder="1" applyProtection="1"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24" xfId="0" applyFill="1" applyBorder="1" applyAlignment="1" applyProtection="1">
      <alignment horizontal="center"/>
      <protection hidden="1"/>
    </xf>
    <xf numFmtId="165" fontId="0" fillId="4" borderId="24" xfId="0" applyNumberFormat="1" applyFill="1" applyBorder="1" applyAlignment="1" applyProtection="1">
      <alignment horizontal="center"/>
      <protection hidden="1"/>
    </xf>
    <xf numFmtId="8" fontId="0" fillId="4" borderId="0" xfId="0" applyNumberFormat="1" applyFill="1" applyBorder="1" applyAlignment="1" applyProtection="1">
      <alignment horizontal="center"/>
      <protection hidden="1"/>
    </xf>
    <xf numFmtId="8" fontId="0" fillId="4" borderId="24" xfId="0" applyNumberFormat="1" applyFill="1" applyBorder="1" applyAlignment="1" applyProtection="1">
      <alignment horizontal="center"/>
      <protection hidden="1"/>
    </xf>
    <xf numFmtId="166" fontId="0" fillId="4" borderId="24" xfId="0" applyNumberFormat="1" applyFill="1" applyBorder="1" applyAlignment="1" applyProtection="1">
      <alignment horizontal="center" vertical="center"/>
      <protection hidden="1"/>
    </xf>
    <xf numFmtId="166" fontId="0" fillId="4" borderId="24" xfId="0" applyNumberFormat="1" applyFill="1" applyBorder="1" applyAlignment="1" applyProtection="1">
      <alignment horizontal="center"/>
      <protection hidden="1"/>
    </xf>
    <xf numFmtId="43" fontId="0" fillId="4" borderId="24" xfId="1" applyFont="1" applyFill="1" applyBorder="1" applyAlignment="1" applyProtection="1">
      <alignment horizontal="center"/>
      <protection hidden="1"/>
    </xf>
    <xf numFmtId="0" fontId="0" fillId="4" borderId="24" xfId="0" applyFill="1" applyBorder="1" applyProtection="1">
      <protection hidden="1"/>
    </xf>
    <xf numFmtId="0" fontId="0" fillId="4" borderId="21" xfId="0" applyFill="1" applyBorder="1" applyProtection="1">
      <protection hidden="1"/>
    </xf>
    <xf numFmtId="43" fontId="0" fillId="0" borderId="0" xfId="0" applyNumberFormat="1" applyProtection="1"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165" fontId="0" fillId="4" borderId="0" xfId="0" applyNumberFormat="1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0" fillId="4" borderId="27" xfId="0" applyFill="1" applyBorder="1" applyProtection="1">
      <protection hidden="1"/>
    </xf>
    <xf numFmtId="0" fontId="7" fillId="5" borderId="8" xfId="0" applyFont="1" applyFill="1" applyBorder="1" applyAlignment="1" applyProtection="1">
      <alignment horizontal="center" vertical="center"/>
      <protection hidden="1"/>
    </xf>
    <xf numFmtId="8" fontId="8" fillId="5" borderId="18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0" fillId="4" borderId="25" xfId="0" applyFill="1" applyBorder="1" applyAlignment="1" applyProtection="1">
      <alignment horizontal="center"/>
      <protection hidden="1"/>
    </xf>
    <xf numFmtId="0" fontId="0" fillId="4" borderId="28" xfId="0" applyFill="1" applyBorder="1" applyAlignment="1" applyProtection="1">
      <alignment horizontal="center" vertical="center" textRotation="90"/>
      <protection hidden="1"/>
    </xf>
    <xf numFmtId="0" fontId="0" fillId="4" borderId="16" xfId="0" applyFill="1" applyBorder="1" applyAlignment="1" applyProtection="1">
      <alignment horizontal="center"/>
      <protection hidden="1"/>
    </xf>
    <xf numFmtId="0" fontId="0" fillId="4" borderId="29" xfId="0" applyFill="1" applyBorder="1" applyAlignment="1" applyProtection="1">
      <alignment horizontal="center"/>
      <protection hidden="1"/>
    </xf>
    <xf numFmtId="165" fontId="0" fillId="4" borderId="30" xfId="0" applyNumberFormat="1" applyFill="1" applyBorder="1" applyAlignment="1" applyProtection="1">
      <alignment horizontal="center"/>
      <protection hidden="1"/>
    </xf>
    <xf numFmtId="166" fontId="0" fillId="4" borderId="30" xfId="0" applyNumberFormat="1" applyFill="1" applyBorder="1" applyAlignment="1" applyProtection="1">
      <alignment horizontal="center"/>
      <protection hidden="1"/>
    </xf>
    <xf numFmtId="0" fontId="0" fillId="4" borderId="30" xfId="0" applyFill="1" applyBorder="1" applyAlignment="1" applyProtection="1">
      <alignment horizontal="center"/>
      <protection hidden="1"/>
    </xf>
    <xf numFmtId="0" fontId="0" fillId="4" borderId="30" xfId="0" applyFill="1" applyBorder="1" applyProtection="1">
      <protection hidden="1"/>
    </xf>
    <xf numFmtId="0" fontId="0" fillId="4" borderId="31" xfId="0" applyFill="1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8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6" fontId="0" fillId="3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27" xfId="0" applyBorder="1" applyProtection="1"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166" fontId="0" fillId="0" borderId="0" xfId="0" applyNumberFormat="1" applyBorder="1" applyAlignment="1" applyProtection="1">
      <alignment horizontal="center"/>
      <protection hidden="1"/>
    </xf>
    <xf numFmtId="0" fontId="7" fillId="5" borderId="6" xfId="0" applyFont="1" applyFill="1" applyBorder="1" applyAlignment="1" applyProtection="1">
      <alignment horizontal="center" vertical="center"/>
      <protection hidden="1"/>
    </xf>
    <xf numFmtId="8" fontId="8" fillId="5" borderId="27" xfId="0" applyNumberFormat="1" applyFont="1" applyFill="1" applyBorder="1" applyAlignment="1" applyProtection="1">
      <alignment horizontal="center" vertical="center"/>
      <protection hidden="1"/>
    </xf>
    <xf numFmtId="0" fontId="7" fillId="5" borderId="5" xfId="0" applyFont="1" applyFill="1" applyBorder="1" applyAlignment="1" applyProtection="1">
      <alignment horizontal="center" vertical="center"/>
      <protection hidden="1"/>
    </xf>
    <xf numFmtId="8" fontId="8" fillId="5" borderId="21" xfId="0" applyNumberFormat="1" applyFont="1" applyFill="1" applyBorder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textRotation="90"/>
      <protection hidden="1"/>
    </xf>
    <xf numFmtId="0" fontId="0" fillId="0" borderId="26" xfId="0" applyBorder="1" applyAlignment="1" applyProtection="1">
      <alignment horizontal="center" vertical="center" textRotation="90"/>
      <protection hidden="1"/>
    </xf>
    <xf numFmtId="0" fontId="0" fillId="0" borderId="33" xfId="0" applyBorder="1" applyAlignment="1" applyProtection="1">
      <alignment horizontal="center" vertical="center" textRotation="90"/>
      <protection hidden="1"/>
    </xf>
    <xf numFmtId="0" fontId="0" fillId="0" borderId="34" xfId="0" applyBorder="1" applyAlignment="1" applyProtection="1">
      <alignment horizontal="center" vertical="center" textRotation="90"/>
      <protection hidden="1"/>
    </xf>
    <xf numFmtId="165" fontId="0" fillId="0" borderId="17" xfId="0" applyNumberFormat="1" applyBorder="1" applyAlignment="1" applyProtection="1">
      <alignment horizontal="center"/>
      <protection hidden="1"/>
    </xf>
    <xf numFmtId="8" fontId="0" fillId="0" borderId="0" xfId="0" applyNumberFormat="1" applyBorder="1" applyAlignment="1" applyProtection="1"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165" fontId="0" fillId="0" borderId="0" xfId="0" applyNumberFormat="1" applyProtection="1">
      <protection hidden="1"/>
    </xf>
    <xf numFmtId="0" fontId="0" fillId="0" borderId="35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33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9" xfId="0" applyFill="1" applyBorder="1" applyAlignment="1" applyProtection="1">
      <alignment horizontal="center"/>
      <protection hidden="1"/>
    </xf>
    <xf numFmtId="0" fontId="2" fillId="0" borderId="37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38" xfId="0" applyFont="1" applyFill="1" applyBorder="1" applyAlignment="1" applyProtection="1">
      <alignment horizont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" fillId="3" borderId="37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38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0" fontId="17" fillId="0" borderId="0" xfId="0" applyFont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11" fillId="0" borderId="16" xfId="0" applyFont="1" applyBorder="1" applyProtection="1">
      <protection hidden="1"/>
    </xf>
    <xf numFmtId="0" fontId="11" fillId="0" borderId="15" xfId="0" applyFont="1" applyBorder="1" applyProtection="1">
      <protection hidden="1"/>
    </xf>
    <xf numFmtId="0" fontId="11" fillId="0" borderId="11" xfId="0" applyFont="1" applyBorder="1" applyProtection="1"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1" xfId="0" applyFont="1" applyBorder="1" applyProtection="1"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Protection="1">
      <protection hidden="1"/>
    </xf>
    <xf numFmtId="7" fontId="11" fillId="0" borderId="9" xfId="2" applyNumberFormat="1" applyFont="1" applyBorder="1" applyAlignment="1" applyProtection="1">
      <alignment horizontal="center" vertical="center"/>
      <protection hidden="1"/>
    </xf>
    <xf numFmtId="7" fontId="12" fillId="0" borderId="1" xfId="0" applyNumberFormat="1" applyFont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locked="0" hidden="1"/>
    </xf>
    <xf numFmtId="7" fontId="18" fillId="0" borderId="36" xfId="0" applyNumberFormat="1" applyFont="1" applyBorder="1" applyAlignment="1" applyProtection="1">
      <alignment horizontal="center" vertical="center"/>
      <protection hidden="1"/>
    </xf>
    <xf numFmtId="0" fontId="0" fillId="0" borderId="26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0" fillId="8" borderId="37" xfId="0" applyFill="1" applyBorder="1" applyAlignment="1" applyProtection="1">
      <alignment horizontal="center" vertical="center"/>
      <protection locked="0" hidden="1"/>
    </xf>
    <xf numFmtId="0" fontId="0" fillId="8" borderId="38" xfId="0" applyFill="1" applyBorder="1" applyAlignment="1" applyProtection="1">
      <alignment horizontal="center" vertical="center" wrapText="1"/>
      <protection locked="0" hidden="1"/>
    </xf>
    <xf numFmtId="0" fontId="0" fillId="8" borderId="1" xfId="0" applyFill="1" applyBorder="1" applyAlignment="1" applyProtection="1">
      <alignment horizontal="center" vertical="center" wrapText="1"/>
      <protection locked="0" hidden="1"/>
    </xf>
    <xf numFmtId="0" fontId="1" fillId="8" borderId="1" xfId="0" applyFont="1" applyFill="1" applyBorder="1" applyAlignment="1" applyProtection="1">
      <alignment horizontal="center" vertical="center" wrapText="1"/>
      <protection locked="0" hidden="1"/>
    </xf>
    <xf numFmtId="0" fontId="0" fillId="8" borderId="1" xfId="0" applyFill="1" applyBorder="1" applyAlignment="1" applyProtection="1">
      <alignment horizontal="center"/>
      <protection locked="0" hidden="1"/>
    </xf>
    <xf numFmtId="0" fontId="2" fillId="8" borderId="1" xfId="0" applyFont="1" applyFill="1" applyBorder="1" applyAlignment="1" applyProtection="1">
      <alignment horizontal="center" wrapText="1"/>
      <protection locked="0" hidden="1"/>
    </xf>
    <xf numFmtId="0" fontId="0" fillId="7" borderId="37" xfId="0" applyFill="1" applyBorder="1" applyProtection="1"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7" borderId="38" xfId="0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wrapText="1"/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3" fillId="3" borderId="9" xfId="0" applyFont="1" applyFill="1" applyBorder="1" applyAlignment="1" applyProtection="1">
      <alignment horizontal="center"/>
      <protection hidden="1"/>
    </xf>
    <xf numFmtId="0" fontId="0" fillId="7" borderId="4" xfId="0" applyFill="1" applyBorder="1" applyProtection="1">
      <protection hidden="1"/>
    </xf>
    <xf numFmtId="0" fontId="0" fillId="7" borderId="37" xfId="0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2" xfId="0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 applyProtection="1">
      <alignment horizontal="center" wrapText="1"/>
      <protection locked="0" hidden="1"/>
    </xf>
    <xf numFmtId="0" fontId="19" fillId="0" borderId="0" xfId="0" applyFont="1" applyBorder="1" applyProtection="1"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0" fillId="0" borderId="28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43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left"/>
      <protection hidden="1"/>
    </xf>
    <xf numFmtId="0" fontId="0" fillId="0" borderId="9" xfId="0" applyBorder="1" applyProtection="1">
      <protection hidden="1"/>
    </xf>
    <xf numFmtId="0" fontId="0" fillId="0" borderId="44" xfId="0" applyBorder="1" applyProtection="1">
      <protection hidden="1"/>
    </xf>
    <xf numFmtId="0" fontId="0" fillId="0" borderId="15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right"/>
      <protection hidden="1"/>
    </xf>
    <xf numFmtId="0" fontId="23" fillId="0" borderId="0" xfId="0" applyFont="1" applyProtection="1">
      <protection hidden="1"/>
    </xf>
    <xf numFmtId="167" fontId="0" fillId="8" borderId="1" xfId="0" applyNumberFormat="1" applyFill="1" applyBorder="1" applyProtection="1">
      <protection locked="0" hidden="1"/>
    </xf>
    <xf numFmtId="0" fontId="15" fillId="0" borderId="32" xfId="0" applyFont="1" applyBorder="1" applyAlignment="1" applyProtection="1">
      <alignment horizontal="center" vertical="center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6" fillId="7" borderId="25" xfId="0" applyFont="1" applyFill="1" applyBorder="1" applyAlignment="1" applyProtection="1">
      <alignment horizontal="center"/>
      <protection hidden="1"/>
    </xf>
    <xf numFmtId="0" fontId="6" fillId="7" borderId="0" xfId="0" applyFont="1" applyFill="1" applyBorder="1" applyAlignment="1" applyProtection="1">
      <alignment horizontal="center"/>
      <protection hidden="1"/>
    </xf>
    <xf numFmtId="0" fontId="6" fillId="7" borderId="27" xfId="0" applyFont="1" applyFill="1" applyBorder="1" applyAlignment="1" applyProtection="1">
      <alignment horizontal="center"/>
      <protection hidden="1"/>
    </xf>
    <xf numFmtId="0" fontId="14" fillId="7" borderId="32" xfId="0" applyFont="1" applyFill="1" applyBorder="1" applyAlignment="1" applyProtection="1">
      <alignment horizontal="center"/>
      <protection hidden="1"/>
    </xf>
    <xf numFmtId="0" fontId="14" fillId="7" borderId="19" xfId="0" applyFont="1" applyFill="1" applyBorder="1" applyAlignment="1" applyProtection="1">
      <alignment horizontal="center"/>
      <protection hidden="1"/>
    </xf>
    <xf numFmtId="0" fontId="14" fillId="7" borderId="20" xfId="0" applyFon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 wrapText="1"/>
      <protection hidden="1"/>
    </xf>
    <xf numFmtId="0" fontId="0" fillId="0" borderId="18" xfId="0" applyBorder="1" applyAlignment="1" applyProtection="1">
      <alignment horizont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textRotation="90"/>
      <protection hidden="1"/>
    </xf>
    <xf numFmtId="0" fontId="0" fillId="0" borderId="25" xfId="0" applyBorder="1" applyAlignment="1" applyProtection="1">
      <alignment horizontal="center" vertical="center" textRotation="90"/>
      <protection hidden="1"/>
    </xf>
    <xf numFmtId="0" fontId="0" fillId="4" borderId="23" xfId="0" applyFill="1" applyBorder="1" applyAlignment="1" applyProtection="1">
      <alignment horizontal="center" vertical="center" textRotation="90"/>
      <protection hidden="1"/>
    </xf>
    <xf numFmtId="0" fontId="0" fillId="4" borderId="26" xfId="0" applyFill="1" applyBorder="1" applyAlignment="1" applyProtection="1">
      <alignment horizontal="center" vertical="center" textRotation="90"/>
      <protection hidden="1"/>
    </xf>
    <xf numFmtId="0" fontId="0" fillId="0" borderId="26" xfId="0" applyBorder="1" applyAlignment="1" applyProtection="1">
      <alignment horizontal="center" vertical="center" textRotation="90"/>
      <protection hidden="1"/>
    </xf>
    <xf numFmtId="0" fontId="0" fillId="8" borderId="2" xfId="0" applyFill="1" applyBorder="1" applyAlignment="1" applyProtection="1">
      <alignment horizontal="left"/>
      <protection locked="0" hidden="1"/>
    </xf>
    <xf numFmtId="0" fontId="0" fillId="8" borderId="3" xfId="0" applyFill="1" applyBorder="1" applyAlignment="1" applyProtection="1">
      <alignment horizontal="left"/>
      <protection locked="0" hidden="1"/>
    </xf>
    <xf numFmtId="0" fontId="0" fillId="8" borderId="41" xfId="0" applyFill="1" applyBorder="1" applyAlignment="1" applyProtection="1">
      <alignment horizontal="center"/>
      <protection locked="0" hidden="1"/>
    </xf>
    <xf numFmtId="0" fontId="0" fillId="8" borderId="35" xfId="0" applyFill="1" applyBorder="1" applyAlignment="1" applyProtection="1">
      <alignment horizontal="center"/>
      <protection locked="0" hidden="1"/>
    </xf>
    <xf numFmtId="0" fontId="0" fillId="8" borderId="42" xfId="0" applyFill="1" applyBorder="1" applyAlignment="1" applyProtection="1">
      <alignment horizontal="center"/>
      <protection locked="0" hidden="1"/>
    </xf>
    <xf numFmtId="0" fontId="0" fillId="8" borderId="26" xfId="0" applyFill="1" applyBorder="1" applyAlignment="1" applyProtection="1">
      <alignment horizontal="center"/>
      <protection locked="0" hidden="1"/>
    </xf>
    <xf numFmtId="0" fontId="0" fillId="8" borderId="0" xfId="0" applyFill="1" applyBorder="1" applyAlignment="1" applyProtection="1">
      <alignment horizontal="center"/>
      <protection locked="0" hidden="1"/>
    </xf>
    <xf numFmtId="0" fontId="0" fillId="8" borderId="43" xfId="0" applyFill="1" applyBorder="1" applyAlignment="1" applyProtection="1">
      <alignment horizontal="center"/>
      <protection locked="0" hidden="1"/>
    </xf>
    <xf numFmtId="0" fontId="0" fillId="8" borderId="28" xfId="0" applyFill="1" applyBorder="1" applyAlignment="1" applyProtection="1">
      <alignment horizontal="center"/>
      <protection locked="0" hidden="1"/>
    </xf>
    <xf numFmtId="0" fontId="0" fillId="8" borderId="30" xfId="0" applyFill="1" applyBorder="1" applyAlignment="1" applyProtection="1">
      <alignment horizontal="center"/>
      <protection locked="0" hidden="1"/>
    </xf>
    <xf numFmtId="0" fontId="0" fillId="8" borderId="15" xfId="0" applyFill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0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0" fillId="8" borderId="2" xfId="0" applyFill="1" applyBorder="1" applyAlignment="1" applyProtection="1">
      <alignment horizontal="center"/>
      <protection locked="0" hidden="1"/>
    </xf>
    <xf numFmtId="0" fontId="0" fillId="8" borderId="40" xfId="0" applyFill="1" applyBorder="1" applyAlignment="1" applyProtection="1">
      <alignment horizontal="center"/>
      <protection locked="0" hidden="1"/>
    </xf>
    <xf numFmtId="0" fontId="0" fillId="8" borderId="3" xfId="0" applyFill="1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8" borderId="41" xfId="0" applyFill="1" applyBorder="1" applyAlignment="1" applyProtection="1">
      <alignment horizontal="left" vertical="center"/>
      <protection locked="0" hidden="1"/>
    </xf>
    <xf numFmtId="0" fontId="0" fillId="8" borderId="35" xfId="0" applyFill="1" applyBorder="1" applyAlignment="1" applyProtection="1">
      <alignment horizontal="left" vertical="center"/>
      <protection locked="0" hidden="1"/>
    </xf>
    <xf numFmtId="0" fontId="0" fillId="8" borderId="42" xfId="0" applyFill="1" applyBorder="1" applyAlignment="1" applyProtection="1">
      <alignment horizontal="left" vertical="center"/>
      <protection locked="0" hidden="1"/>
    </xf>
    <xf numFmtId="0" fontId="0" fillId="8" borderId="28" xfId="0" applyFill="1" applyBorder="1" applyAlignment="1" applyProtection="1">
      <alignment horizontal="left" vertical="center"/>
      <protection locked="0" hidden="1"/>
    </xf>
    <xf numFmtId="0" fontId="0" fillId="8" borderId="30" xfId="0" applyFill="1" applyBorder="1" applyAlignment="1" applyProtection="1">
      <alignment horizontal="left" vertical="center"/>
      <protection locked="0" hidden="1"/>
    </xf>
    <xf numFmtId="0" fontId="0" fillId="8" borderId="15" xfId="0" applyFill="1" applyBorder="1" applyAlignment="1" applyProtection="1">
      <alignment horizontal="left" vertical="center"/>
      <protection locked="0" hidden="1"/>
    </xf>
  </cellXfs>
  <cellStyles count="3">
    <cellStyle name="Milliers" xfId="1" builtinId="3"/>
    <cellStyle name="Monétaire" xfId="2" builtinId="4"/>
    <cellStyle name="Normal" xfId="0" builtinId="0"/>
  </cellStyles>
  <dxfs count="9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auto="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510887</xdr:colOff>
      <xdr:row>4</xdr:row>
      <xdr:rowOff>263238</xdr:rowOff>
    </xdr:from>
    <xdr:to>
      <xdr:col>16</xdr:col>
      <xdr:colOff>713856</xdr:colOff>
      <xdr:row>24</xdr:row>
      <xdr:rowOff>55766</xdr:rowOff>
    </xdr:to>
    <xdr:pic>
      <xdr:nvPicPr>
        <xdr:cNvPr id="2" name="Image 7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9614" y="2022765"/>
          <a:ext cx="8086206" cy="6137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997529</xdr:colOff>
      <xdr:row>24</xdr:row>
      <xdr:rowOff>69273</xdr:rowOff>
    </xdr:from>
    <xdr:to>
      <xdr:col>11</xdr:col>
      <xdr:colOff>1648692</xdr:colOff>
      <xdr:row>31</xdr:row>
      <xdr:rowOff>13853</xdr:rowOff>
    </xdr:to>
    <xdr:sp macro="" textlink="">
      <xdr:nvSpPr>
        <xdr:cNvPr id="7" name="Flèche vers le haut 6"/>
        <xdr:cNvSpPr/>
      </xdr:nvSpPr>
      <xdr:spPr>
        <a:xfrm>
          <a:off x="14048511" y="8188037"/>
          <a:ext cx="651163" cy="120534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637310</xdr:colOff>
      <xdr:row>18</xdr:row>
      <xdr:rowOff>346364</xdr:rowOff>
    </xdr:from>
    <xdr:to>
      <xdr:col>14</xdr:col>
      <xdr:colOff>1260764</xdr:colOff>
      <xdr:row>31</xdr:row>
      <xdr:rowOff>69273</xdr:rowOff>
    </xdr:to>
    <xdr:sp macro="" textlink="">
      <xdr:nvSpPr>
        <xdr:cNvPr id="8" name="Flèche vers le haut 7"/>
        <xdr:cNvSpPr/>
      </xdr:nvSpPr>
      <xdr:spPr>
        <a:xfrm>
          <a:off x="17539855" y="6248400"/>
          <a:ext cx="623454" cy="32004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10</xdr:col>
      <xdr:colOff>1136951</xdr:colOff>
      <xdr:row>33</xdr:row>
      <xdr:rowOff>145144</xdr:rowOff>
    </xdr:from>
    <xdr:to>
      <xdr:col>14</xdr:col>
      <xdr:colOff>1269999</xdr:colOff>
      <xdr:row>69</xdr:row>
      <xdr:rowOff>61566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4856" y="9543144"/>
          <a:ext cx="5321905" cy="6617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61516</xdr:colOff>
      <xdr:row>0</xdr:row>
      <xdr:rowOff>190499</xdr:rowOff>
    </xdr:from>
    <xdr:to>
      <xdr:col>7</xdr:col>
      <xdr:colOff>771525</xdr:colOff>
      <xdr:row>9</xdr:row>
      <xdr:rowOff>177648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16" y="190499"/>
          <a:ext cx="13400484" cy="17016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oucault/AppData/Local/Microsoft/Windows/Temporary%20Internet%20Files/Content.Outlook/Y6YEBVR1/&#233;querre%20largeur%2060%207tro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oucault/AppData/Local/Microsoft/Windows/Temporary%20Internet%20Files/Content.Outlook/Y6YEBVR1/&#233;querre%20largeur%2060%209tro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40"/>
      <sheetName val="B50"/>
      <sheetName val="B60"/>
      <sheetName val="B70"/>
      <sheetName val="Feuil16"/>
    </sheetNames>
    <sheetDataSet>
      <sheetData sheetId="0" refreshError="1">
        <row r="36">
          <cell r="G36">
            <v>0.12488291960526313</v>
          </cell>
        </row>
      </sheetData>
      <sheetData sheetId="1" refreshError="1">
        <row r="36">
          <cell r="G36">
            <v>0.13351281710526314</v>
          </cell>
        </row>
      </sheetData>
      <sheetData sheetId="2" refreshError="1">
        <row r="36">
          <cell r="G36">
            <v>0.14214271460526315</v>
          </cell>
        </row>
      </sheetData>
      <sheetData sheetId="3" refreshError="1">
        <row r="36">
          <cell r="G36">
            <v>0.15077261210526316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80"/>
      <sheetName val="B90"/>
      <sheetName val="B100"/>
      <sheetName val="B110"/>
      <sheetName val="B120"/>
      <sheetName val="B130"/>
      <sheetName val="B140"/>
      <sheetName val="B150"/>
      <sheetName val="B160"/>
      <sheetName val="B170"/>
      <sheetName val="B180"/>
      <sheetName val="B190"/>
      <sheetName val="B200"/>
      <sheetName val="B210"/>
      <sheetName val="B220"/>
      <sheetName val="B230"/>
      <sheetName val="B240"/>
      <sheetName val="B250"/>
      <sheetName val="B260"/>
      <sheetName val="B270"/>
      <sheetName val="B280"/>
      <sheetName val="B290"/>
      <sheetName val="B300"/>
      <sheetName val="B310"/>
      <sheetName val="B320"/>
      <sheetName val="B330"/>
      <sheetName val="B340"/>
      <sheetName val="B350"/>
    </sheetNames>
    <sheetDataSet>
      <sheetData sheetId="0" refreshError="1">
        <row r="36">
          <cell r="G36">
            <v>0.16407677861111111</v>
          </cell>
        </row>
      </sheetData>
      <sheetData sheetId="1" refreshError="1">
        <row r="36">
          <cell r="G36">
            <v>0.1727066761111111</v>
          </cell>
        </row>
      </sheetData>
      <sheetData sheetId="2" refreshError="1">
        <row r="36">
          <cell r="G36">
            <v>0.18133657361111108</v>
          </cell>
        </row>
      </sheetData>
      <sheetData sheetId="3" refreshError="1">
        <row r="36">
          <cell r="G36">
            <v>0.18996647111111106</v>
          </cell>
        </row>
      </sheetData>
      <sheetData sheetId="4" refreshError="1">
        <row r="36">
          <cell r="G36">
            <v>0.19859636861111107</v>
          </cell>
        </row>
      </sheetData>
      <sheetData sheetId="5" refreshError="1"/>
      <sheetData sheetId="6" refreshError="1">
        <row r="36">
          <cell r="G36">
            <v>0.21795616361111109</v>
          </cell>
        </row>
      </sheetData>
      <sheetData sheetId="7" refreshError="1">
        <row r="36">
          <cell r="G36">
            <v>0.22901612647058819</v>
          </cell>
        </row>
      </sheetData>
      <sheetData sheetId="8" refreshError="1">
        <row r="36">
          <cell r="G36">
            <v>0.2376460239705882</v>
          </cell>
        </row>
      </sheetData>
      <sheetData sheetId="9" refreshError="1">
        <row r="36">
          <cell r="G36">
            <v>0.24627592147058819</v>
          </cell>
        </row>
      </sheetData>
      <sheetData sheetId="10" refreshError="1">
        <row r="36">
          <cell r="G36">
            <v>0.25490581897058823</v>
          </cell>
        </row>
      </sheetData>
      <sheetData sheetId="11" refreshError="1">
        <row r="36">
          <cell r="G36">
            <v>0.2676357164705882</v>
          </cell>
        </row>
      </sheetData>
      <sheetData sheetId="12" refreshError="1">
        <row r="36">
          <cell r="G36">
            <v>0.27899943749999995</v>
          </cell>
        </row>
      </sheetData>
      <sheetData sheetId="13" refreshError="1">
        <row r="36">
          <cell r="G36">
            <v>0.28762933499999999</v>
          </cell>
        </row>
      </sheetData>
      <sheetData sheetId="14" refreshError="1">
        <row r="36">
          <cell r="G36">
            <v>0.29625923249999997</v>
          </cell>
        </row>
      </sheetData>
      <sheetData sheetId="15" refreshError="1">
        <row r="36">
          <cell r="G36">
            <v>0.30488912999999995</v>
          </cell>
        </row>
      </sheetData>
      <sheetData sheetId="16" refreshError="1">
        <row r="36">
          <cell r="G36">
            <v>0.31381902749999996</v>
          </cell>
        </row>
      </sheetData>
      <sheetData sheetId="17" refreshError="1">
        <row r="36">
          <cell r="G36">
            <v>0.32244892499999994</v>
          </cell>
        </row>
      </sheetData>
      <sheetData sheetId="18" refreshError="1">
        <row r="36">
          <cell r="G36">
            <v>0.33107882249999993</v>
          </cell>
        </row>
      </sheetData>
      <sheetData sheetId="19" refreshError="1">
        <row r="36">
          <cell r="G36">
            <v>0.33970871999999991</v>
          </cell>
        </row>
      </sheetData>
      <sheetData sheetId="20" refreshError="1">
        <row r="36">
          <cell r="G36">
            <v>0.34833861749999995</v>
          </cell>
        </row>
      </sheetData>
      <sheetData sheetId="21" refreshError="1">
        <row r="36">
          <cell r="G36">
            <v>0.35696851499999993</v>
          </cell>
        </row>
      </sheetData>
      <sheetData sheetId="22" refreshError="1">
        <row r="36">
          <cell r="G36">
            <v>0.37579841249999996</v>
          </cell>
        </row>
      </sheetData>
      <sheetData sheetId="23" refreshError="1">
        <row r="36">
          <cell r="G36">
            <v>0.38752664333333325</v>
          </cell>
        </row>
      </sheetData>
      <sheetData sheetId="24" refreshError="1">
        <row r="36">
          <cell r="G36">
            <v>0.39615654083333329</v>
          </cell>
        </row>
      </sheetData>
      <sheetData sheetId="25" refreshError="1">
        <row r="36">
          <cell r="G36">
            <v>0.40478643833333333</v>
          </cell>
        </row>
      </sheetData>
      <sheetData sheetId="26" refreshError="1">
        <row r="36">
          <cell r="G36">
            <v>0.41341633583333326</v>
          </cell>
        </row>
      </sheetData>
      <sheetData sheetId="27" refreshError="1">
        <row r="36">
          <cell r="G36">
            <v>0.4220462333333333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8"/>
  <sheetViews>
    <sheetView showGridLines="0" showRowColHeaders="0" tabSelected="1" zoomScale="63" zoomScaleNormal="63" workbookViewId="0">
      <selection activeCell="B6" sqref="B6"/>
    </sheetView>
  </sheetViews>
  <sheetFormatPr baseColWidth="10" defaultRowHeight="14.4" x14ac:dyDescent="0.3"/>
  <cols>
    <col min="1" max="1" width="23.109375" style="2" customWidth="1"/>
    <col min="2" max="3" width="23.6640625" style="2" customWidth="1"/>
    <col min="4" max="4" width="23.21875" style="2" customWidth="1"/>
    <col min="5" max="5" width="23.6640625" style="2" customWidth="1"/>
    <col min="6" max="6" width="19.5546875" style="2" customWidth="1"/>
    <col min="7" max="7" width="21" style="2" customWidth="1"/>
    <col min="8" max="8" width="30.6640625" style="2" customWidth="1"/>
    <col min="9" max="9" width="16.6640625" style="2" customWidth="1"/>
    <col min="10" max="10" width="16.6640625" style="2" bestFit="1" customWidth="1"/>
    <col min="11" max="11" width="19" style="2" customWidth="1"/>
    <col min="12" max="12" width="33.33203125" style="2" bestFit="1" customWidth="1"/>
    <col min="13" max="14" width="11.5546875" style="2"/>
    <col min="15" max="15" width="19.6640625" style="2" bestFit="1" customWidth="1"/>
    <col min="16" max="16384" width="11.5546875" style="2"/>
  </cols>
  <sheetData>
    <row r="1" spans="1:16" x14ac:dyDescent="0.3">
      <c r="A1" s="67"/>
      <c r="B1" s="68"/>
      <c r="C1" s="68"/>
      <c r="D1" s="68"/>
      <c r="E1" s="68"/>
      <c r="F1" s="68"/>
      <c r="G1" s="68"/>
      <c r="H1" s="69"/>
    </row>
    <row r="2" spans="1:16" ht="18" x14ac:dyDescent="0.35">
      <c r="A2" s="158" t="s">
        <v>141</v>
      </c>
      <c r="B2" s="159"/>
      <c r="C2" s="159"/>
      <c r="D2" s="159"/>
      <c r="E2" s="159"/>
      <c r="F2" s="159"/>
      <c r="G2" s="159"/>
      <c r="H2" s="160"/>
    </row>
    <row r="3" spans="1:16" ht="15" thickBot="1" x14ac:dyDescent="0.35">
      <c r="A3" s="70"/>
      <c r="B3" s="47"/>
      <c r="C3" s="47"/>
      <c r="D3" s="47"/>
      <c r="E3" s="47"/>
      <c r="F3" s="47"/>
      <c r="G3" s="47"/>
      <c r="H3" s="48"/>
    </row>
    <row r="4" spans="1:16" ht="91.95" customHeight="1" thickBot="1" x14ac:dyDescent="0.35">
      <c r="A4" s="133" t="s">
        <v>178</v>
      </c>
      <c r="B4" s="127" t="s">
        <v>0</v>
      </c>
      <c r="C4" s="127" t="s">
        <v>104</v>
      </c>
      <c r="D4" s="127" t="s">
        <v>219</v>
      </c>
      <c r="E4" s="127" t="s">
        <v>179</v>
      </c>
      <c r="F4" s="127" t="s">
        <v>102</v>
      </c>
      <c r="G4" s="127" t="s">
        <v>103</v>
      </c>
      <c r="H4" s="128" t="s">
        <v>88</v>
      </c>
      <c r="K4" s="154" t="s">
        <v>145</v>
      </c>
      <c r="L4" s="155"/>
      <c r="M4" s="155"/>
      <c r="N4" s="155"/>
      <c r="O4" s="155"/>
      <c r="P4" s="156"/>
    </row>
    <row r="5" spans="1:16" ht="47.4" customHeight="1" x14ac:dyDescent="0.3">
      <c r="A5" s="119">
        <v>4</v>
      </c>
      <c r="B5" s="115">
        <v>110</v>
      </c>
      <c r="C5" s="115">
        <v>60</v>
      </c>
      <c r="D5" s="115">
        <v>18</v>
      </c>
      <c r="E5" s="115">
        <v>3</v>
      </c>
      <c r="F5" s="115" t="s">
        <v>217</v>
      </c>
      <c r="G5" s="115">
        <v>25</v>
      </c>
      <c r="H5" s="120" t="s">
        <v>213</v>
      </c>
    </row>
    <row r="6" spans="1:16" x14ac:dyDescent="0.3">
      <c r="A6" s="71"/>
      <c r="B6" s="47"/>
      <c r="C6" s="47"/>
      <c r="D6" s="47"/>
      <c r="E6" s="47"/>
      <c r="F6" s="47"/>
      <c r="G6" s="47"/>
      <c r="H6" s="48"/>
    </row>
    <row r="7" spans="1:16" ht="65.400000000000006" customHeight="1" x14ac:dyDescent="0.3">
      <c r="A7" s="70"/>
      <c r="B7" s="127" t="s">
        <v>139</v>
      </c>
      <c r="C7" s="127" t="s">
        <v>140</v>
      </c>
      <c r="D7" s="127" t="s">
        <v>180</v>
      </c>
      <c r="E7" s="134" t="s">
        <v>181</v>
      </c>
      <c r="F7" s="134" t="s">
        <v>182</v>
      </c>
      <c r="G7" s="72"/>
      <c r="H7" s="48"/>
    </row>
    <row r="8" spans="1:16" x14ac:dyDescent="0.3">
      <c r="A8" s="70"/>
      <c r="B8" s="121">
        <v>50</v>
      </c>
      <c r="C8" s="121">
        <v>70</v>
      </c>
      <c r="D8" s="121">
        <v>0</v>
      </c>
      <c r="E8" s="122">
        <v>22</v>
      </c>
      <c r="F8" s="122">
        <v>22</v>
      </c>
      <c r="G8" s="72"/>
      <c r="H8" s="48"/>
    </row>
    <row r="9" spans="1:16" ht="15" thickBot="1" x14ac:dyDescent="0.35">
      <c r="A9" s="73"/>
      <c r="B9" s="64"/>
      <c r="C9" s="64"/>
      <c r="D9" s="64"/>
      <c r="E9" s="64"/>
      <c r="F9" s="64"/>
      <c r="G9" s="64"/>
      <c r="H9" s="74"/>
    </row>
    <row r="10" spans="1:16" x14ac:dyDescent="0.3">
      <c r="A10" s="75"/>
    </row>
    <row r="12" spans="1:16" ht="46.2" customHeight="1" thickBot="1" x14ac:dyDescent="0.35">
      <c r="E12" s="2" t="s">
        <v>210</v>
      </c>
    </row>
    <row r="13" spans="1:16" ht="16.2" thickBot="1" x14ac:dyDescent="0.35">
      <c r="A13" s="161" t="s">
        <v>142</v>
      </c>
      <c r="B13" s="162"/>
      <c r="C13" s="162"/>
      <c r="D13" s="162"/>
      <c r="E13" s="162"/>
      <c r="F13" s="161" t="s">
        <v>143</v>
      </c>
      <c r="G13" s="162"/>
      <c r="H13" s="162"/>
      <c r="I13" s="163"/>
    </row>
    <row r="14" spans="1:16" x14ac:dyDescent="0.3">
      <c r="A14" s="70"/>
      <c r="B14" s="47"/>
      <c r="C14" s="47"/>
      <c r="D14" s="47"/>
      <c r="E14" s="47"/>
      <c r="F14" s="70"/>
      <c r="G14" s="47"/>
      <c r="H14" s="47"/>
      <c r="I14" s="48"/>
    </row>
    <row r="15" spans="1:16" ht="28.8" x14ac:dyDescent="0.3">
      <c r="A15" s="70"/>
      <c r="B15" s="47"/>
      <c r="C15" s="47"/>
      <c r="E15" s="47"/>
      <c r="F15" s="133" t="s">
        <v>184</v>
      </c>
      <c r="G15" s="133" t="s">
        <v>202</v>
      </c>
      <c r="H15" s="133" t="s">
        <v>201</v>
      </c>
      <c r="I15" s="48"/>
    </row>
    <row r="16" spans="1:16" x14ac:dyDescent="0.3">
      <c r="A16" s="70"/>
      <c r="B16" s="47"/>
      <c r="C16" s="47"/>
      <c r="D16" s="137" t="s">
        <v>207</v>
      </c>
      <c r="E16" s="47"/>
      <c r="F16" s="80" t="str">
        <f>calcul!C4</f>
        <v>QSFEQ2102/C100</v>
      </c>
      <c r="G16" s="77">
        <f>calcul!G5*100</f>
        <v>90</v>
      </c>
      <c r="H16" s="78">
        <f>calcul!F5*100</f>
        <v>135</v>
      </c>
      <c r="I16" s="48"/>
    </row>
    <row r="17" spans="1:17" x14ac:dyDescent="0.3">
      <c r="A17" s="70"/>
      <c r="B17" s="47"/>
      <c r="C17" s="47"/>
      <c r="D17" s="137" t="s">
        <v>222</v>
      </c>
      <c r="E17" s="47"/>
      <c r="F17" s="79">
        <f>calcul!B2</f>
        <v>100</v>
      </c>
      <c r="G17" s="47"/>
      <c r="H17" s="45"/>
      <c r="I17" s="48"/>
    </row>
    <row r="18" spans="1:17" x14ac:dyDescent="0.3">
      <c r="A18" s="76"/>
      <c r="B18" s="45"/>
      <c r="C18" s="45"/>
      <c r="D18" s="45"/>
      <c r="E18" s="45"/>
      <c r="F18" s="70"/>
      <c r="G18" s="45"/>
      <c r="H18" s="45"/>
      <c r="I18" s="48"/>
    </row>
    <row r="19" spans="1:17" ht="43.2" x14ac:dyDescent="0.3">
      <c r="A19" s="70"/>
      <c r="B19" s="126" t="s">
        <v>100</v>
      </c>
      <c r="C19" s="126" t="s">
        <v>101</v>
      </c>
      <c r="D19" s="127" t="s">
        <v>208</v>
      </c>
      <c r="E19" s="135" t="s">
        <v>209</v>
      </c>
      <c r="F19" s="133" t="s">
        <v>220</v>
      </c>
      <c r="G19" s="129" t="s">
        <v>135</v>
      </c>
      <c r="H19" s="127" t="s">
        <v>144</v>
      </c>
      <c r="I19" s="128" t="s">
        <v>136</v>
      </c>
    </row>
    <row r="20" spans="1:17" ht="31.2" x14ac:dyDescent="0.3">
      <c r="A20" s="125" t="s">
        <v>5</v>
      </c>
      <c r="B20" s="123">
        <v>4</v>
      </c>
      <c r="C20" s="123">
        <v>5</v>
      </c>
      <c r="D20" s="124" t="s">
        <v>132</v>
      </c>
      <c r="E20" s="136" t="s">
        <v>132</v>
      </c>
      <c r="F20" s="81">
        <f>calcul!J8*100</f>
        <v>120</v>
      </c>
      <c r="G20" s="82">
        <f>calcul!K8</f>
        <v>5</v>
      </c>
      <c r="H20" s="82">
        <f>calcul!L8</f>
        <v>7</v>
      </c>
      <c r="I20" s="83">
        <f>calcul!M8</f>
        <v>40</v>
      </c>
      <c r="L20" s="84"/>
      <c r="M20" s="84"/>
      <c r="O20" s="84"/>
      <c r="P20" s="84"/>
      <c r="Q20" s="84"/>
    </row>
    <row r="21" spans="1:17" x14ac:dyDescent="0.3">
      <c r="A21" s="125" t="s">
        <v>6</v>
      </c>
      <c r="B21" s="123">
        <v>6</v>
      </c>
      <c r="C21" s="123">
        <v>7</v>
      </c>
      <c r="D21" s="124" t="s">
        <v>132</v>
      </c>
      <c r="E21" s="136" t="s">
        <v>132</v>
      </c>
      <c r="F21" s="81">
        <f>calcul!J9*100</f>
        <v>113.99999999999999</v>
      </c>
      <c r="G21" s="82">
        <f>calcul!K9</f>
        <v>7</v>
      </c>
      <c r="H21" s="82">
        <f>calcul!L9</f>
        <v>9</v>
      </c>
      <c r="I21" s="83">
        <f>calcul!M9</f>
        <v>77</v>
      </c>
    </row>
    <row r="22" spans="1:17" x14ac:dyDescent="0.3">
      <c r="A22" s="125" t="s">
        <v>7</v>
      </c>
      <c r="B22" s="123">
        <v>8</v>
      </c>
      <c r="C22" s="123">
        <v>9</v>
      </c>
      <c r="D22" s="124" t="s">
        <v>132</v>
      </c>
      <c r="E22" s="136" t="s">
        <v>132</v>
      </c>
      <c r="F22" s="81">
        <f>calcul!J10*100</f>
        <v>126</v>
      </c>
      <c r="G22" s="82">
        <f>calcul!K10</f>
        <v>8</v>
      </c>
      <c r="H22" s="82">
        <f>calcul!L10</f>
        <v>11</v>
      </c>
      <c r="I22" s="83">
        <f>calcul!M10</f>
        <v>120</v>
      </c>
    </row>
    <row r="23" spans="1:17" x14ac:dyDescent="0.3">
      <c r="A23" s="125" t="s">
        <v>8</v>
      </c>
      <c r="B23" s="123">
        <v>10</v>
      </c>
      <c r="C23" s="123">
        <v>11</v>
      </c>
      <c r="D23" s="124" t="s">
        <v>132</v>
      </c>
      <c r="E23" s="136" t="s">
        <v>132</v>
      </c>
      <c r="F23" s="81">
        <f>calcul!J11*100</f>
        <v>135</v>
      </c>
      <c r="G23" s="82">
        <f>calcul!K11</f>
        <v>9</v>
      </c>
      <c r="H23" s="82">
        <f>calcul!L11</f>
        <v>13</v>
      </c>
      <c r="I23" s="83">
        <f>calcul!M11</f>
        <v>162</v>
      </c>
    </row>
    <row r="24" spans="1:17" x14ac:dyDescent="0.3">
      <c r="A24" s="125" t="s">
        <v>9</v>
      </c>
      <c r="B24" s="123"/>
      <c r="C24" s="123"/>
      <c r="D24" s="124"/>
      <c r="E24" s="136"/>
      <c r="F24" s="85">
        <f>calcul!J12*100</f>
        <v>0</v>
      </c>
      <c r="G24" s="86">
        <f>calcul!K12</f>
        <v>0</v>
      </c>
      <c r="H24" s="86">
        <f>calcul!L12</f>
        <v>0</v>
      </c>
      <c r="I24" s="87">
        <f>calcul!M12</f>
        <v>0</v>
      </c>
    </row>
    <row r="25" spans="1:17" x14ac:dyDescent="0.3">
      <c r="A25" s="125" t="s">
        <v>10</v>
      </c>
      <c r="B25" s="123"/>
      <c r="C25" s="123"/>
      <c r="D25" s="124"/>
      <c r="E25" s="136"/>
      <c r="F25" s="85">
        <f>calcul!J13*100</f>
        <v>0</v>
      </c>
      <c r="G25" s="86">
        <f>calcul!K13</f>
        <v>0</v>
      </c>
      <c r="H25" s="86">
        <f>calcul!L13</f>
        <v>0</v>
      </c>
      <c r="I25" s="87">
        <f>calcul!M13</f>
        <v>0</v>
      </c>
    </row>
    <row r="26" spans="1:17" x14ac:dyDescent="0.3">
      <c r="A26" s="125" t="s">
        <v>11</v>
      </c>
      <c r="B26" s="123"/>
      <c r="C26" s="123"/>
      <c r="D26" s="124"/>
      <c r="E26" s="136"/>
      <c r="F26" s="85">
        <f>calcul!J14*100</f>
        <v>0</v>
      </c>
      <c r="G26" s="86">
        <f>calcul!K14</f>
        <v>0</v>
      </c>
      <c r="H26" s="86">
        <f>calcul!L14</f>
        <v>0</v>
      </c>
      <c r="I26" s="87">
        <f>calcul!M14</f>
        <v>0</v>
      </c>
    </row>
    <row r="27" spans="1:17" x14ac:dyDescent="0.3">
      <c r="A27" s="125" t="s">
        <v>12</v>
      </c>
      <c r="B27" s="123"/>
      <c r="C27" s="123"/>
      <c r="D27" s="124"/>
      <c r="E27" s="136"/>
      <c r="F27" s="85">
        <f>calcul!J15*100</f>
        <v>0</v>
      </c>
      <c r="G27" s="86">
        <f>calcul!K15</f>
        <v>0</v>
      </c>
      <c r="H27" s="86">
        <f>calcul!L15</f>
        <v>0</v>
      </c>
      <c r="I27" s="87">
        <f>calcul!M15</f>
        <v>0</v>
      </c>
    </row>
    <row r="28" spans="1:17" x14ac:dyDescent="0.3">
      <c r="A28" s="125" t="s">
        <v>13</v>
      </c>
      <c r="B28" s="123"/>
      <c r="C28" s="123"/>
      <c r="D28" s="124"/>
      <c r="E28" s="136"/>
      <c r="F28" s="85">
        <f>calcul!J16*100</f>
        <v>0</v>
      </c>
      <c r="G28" s="86">
        <f>calcul!K16</f>
        <v>0</v>
      </c>
      <c r="H28" s="86">
        <f>calcul!L16</f>
        <v>0</v>
      </c>
      <c r="I28" s="87">
        <f>calcul!M16</f>
        <v>0</v>
      </c>
    </row>
    <row r="29" spans="1:17" x14ac:dyDescent="0.3">
      <c r="A29" s="125" t="s">
        <v>14</v>
      </c>
      <c r="B29" s="123"/>
      <c r="C29" s="123"/>
      <c r="D29" s="124"/>
      <c r="E29" s="136"/>
      <c r="F29" s="85">
        <f>calcul!J17*100</f>
        <v>0</v>
      </c>
      <c r="G29" s="86">
        <f>calcul!K17</f>
        <v>0</v>
      </c>
      <c r="H29" s="86">
        <f>calcul!L17</f>
        <v>0</v>
      </c>
      <c r="I29" s="87">
        <f>calcul!M17</f>
        <v>0</v>
      </c>
    </row>
    <row r="30" spans="1:17" x14ac:dyDescent="0.3">
      <c r="A30" s="125" t="s">
        <v>15</v>
      </c>
      <c r="B30" s="123"/>
      <c r="C30" s="123"/>
      <c r="D30" s="124"/>
      <c r="E30" s="136"/>
      <c r="F30" s="85">
        <f>calcul!J18*100</f>
        <v>0</v>
      </c>
      <c r="G30" s="86">
        <f>calcul!K18</f>
        <v>0</v>
      </c>
      <c r="H30" s="86">
        <f>calcul!L18</f>
        <v>0</v>
      </c>
      <c r="I30" s="87">
        <f>calcul!M18</f>
        <v>0</v>
      </c>
    </row>
    <row r="31" spans="1:17" x14ac:dyDescent="0.3">
      <c r="A31" s="125" t="s">
        <v>16</v>
      </c>
      <c r="B31" s="123"/>
      <c r="C31" s="123"/>
      <c r="D31" s="124"/>
      <c r="E31" s="136"/>
      <c r="F31" s="85">
        <f>calcul!J19*100</f>
        <v>0</v>
      </c>
      <c r="G31" s="86">
        <f>calcul!K19</f>
        <v>0</v>
      </c>
      <c r="H31" s="86">
        <f>calcul!L19</f>
        <v>0</v>
      </c>
      <c r="I31" s="87">
        <f>calcul!M19</f>
        <v>0</v>
      </c>
    </row>
    <row r="32" spans="1:17" x14ac:dyDescent="0.3">
      <c r="A32" s="125" t="s">
        <v>17</v>
      </c>
      <c r="B32" s="123"/>
      <c r="C32" s="123"/>
      <c r="D32" s="124"/>
      <c r="E32" s="136"/>
      <c r="F32" s="85">
        <f>calcul!J20*100</f>
        <v>0</v>
      </c>
      <c r="G32" s="86">
        <f>calcul!K20</f>
        <v>0</v>
      </c>
      <c r="H32" s="86">
        <f>calcul!L20</f>
        <v>0</v>
      </c>
      <c r="I32" s="87">
        <f>calcul!M20</f>
        <v>0</v>
      </c>
    </row>
    <row r="33" spans="1:16" ht="21" x14ac:dyDescent="0.3">
      <c r="A33" s="125" t="s">
        <v>18</v>
      </c>
      <c r="B33" s="123"/>
      <c r="C33" s="123"/>
      <c r="D33" s="124"/>
      <c r="E33" s="136"/>
      <c r="F33" s="85">
        <f>calcul!J21*100</f>
        <v>0</v>
      </c>
      <c r="G33" s="86">
        <f>calcul!K21</f>
        <v>0</v>
      </c>
      <c r="H33" s="86">
        <f>calcul!L21</f>
        <v>0</v>
      </c>
      <c r="I33" s="87">
        <f>calcul!M21</f>
        <v>0</v>
      </c>
      <c r="K33" s="138"/>
      <c r="L33" s="88" t="s">
        <v>132</v>
      </c>
      <c r="O33" s="157" t="s">
        <v>133</v>
      </c>
      <c r="P33" s="157"/>
    </row>
    <row r="34" spans="1:16" x14ac:dyDescent="0.3">
      <c r="A34" s="125" t="s">
        <v>19</v>
      </c>
      <c r="B34" s="123"/>
      <c r="C34" s="123"/>
      <c r="D34" s="124"/>
      <c r="E34" s="136"/>
      <c r="F34" s="85">
        <f>calcul!J22*100</f>
        <v>0</v>
      </c>
      <c r="G34" s="86">
        <f>calcul!K22</f>
        <v>0</v>
      </c>
      <c r="H34" s="86">
        <f>calcul!L22</f>
        <v>0</v>
      </c>
      <c r="I34" s="87">
        <f>calcul!M22</f>
        <v>0</v>
      </c>
    </row>
    <row r="35" spans="1:16" x14ac:dyDescent="0.3">
      <c r="A35" s="125" t="s">
        <v>20</v>
      </c>
      <c r="B35" s="123"/>
      <c r="C35" s="123"/>
      <c r="D35" s="124"/>
      <c r="E35" s="136"/>
      <c r="F35" s="85">
        <f>calcul!J23*100</f>
        <v>0</v>
      </c>
      <c r="G35" s="86">
        <f>calcul!K23</f>
        <v>0</v>
      </c>
      <c r="H35" s="86">
        <f>calcul!L23</f>
        <v>0</v>
      </c>
      <c r="I35" s="87">
        <f>calcul!M23</f>
        <v>0</v>
      </c>
    </row>
    <row r="36" spans="1:16" x14ac:dyDescent="0.3">
      <c r="A36" s="125" t="s">
        <v>21</v>
      </c>
      <c r="B36" s="123"/>
      <c r="C36" s="123"/>
      <c r="D36" s="124"/>
      <c r="E36" s="136"/>
      <c r="F36" s="85">
        <f>calcul!J24*100</f>
        <v>0</v>
      </c>
      <c r="G36" s="86">
        <f>calcul!K24</f>
        <v>0</v>
      </c>
      <c r="H36" s="86">
        <f>calcul!L24</f>
        <v>0</v>
      </c>
      <c r="I36" s="87">
        <f>calcul!M24</f>
        <v>0</v>
      </c>
    </row>
    <row r="37" spans="1:16" x14ac:dyDescent="0.3">
      <c r="A37" s="125" t="s">
        <v>22</v>
      </c>
      <c r="B37" s="123"/>
      <c r="C37" s="123"/>
      <c r="D37" s="124"/>
      <c r="E37" s="136"/>
      <c r="F37" s="85">
        <f>calcul!J25*100</f>
        <v>0</v>
      </c>
      <c r="G37" s="86">
        <f>calcul!K25</f>
        <v>0</v>
      </c>
      <c r="H37" s="86">
        <f>calcul!L25</f>
        <v>0</v>
      </c>
      <c r="I37" s="87">
        <f>calcul!M25</f>
        <v>0</v>
      </c>
    </row>
    <row r="38" spans="1:16" x14ac:dyDescent="0.3">
      <c r="A38" s="125" t="s">
        <v>23</v>
      </c>
      <c r="B38" s="123"/>
      <c r="C38" s="123"/>
      <c r="D38" s="124"/>
      <c r="E38" s="136"/>
      <c r="F38" s="85">
        <f>calcul!J26*100</f>
        <v>0</v>
      </c>
      <c r="G38" s="86">
        <f>calcul!K26</f>
        <v>0</v>
      </c>
      <c r="H38" s="86">
        <f>calcul!L26</f>
        <v>0</v>
      </c>
      <c r="I38" s="87">
        <f>calcul!M26</f>
        <v>0</v>
      </c>
    </row>
    <row r="39" spans="1:16" ht="15" thickBot="1" x14ac:dyDescent="0.35">
      <c r="A39" s="125" t="s">
        <v>24</v>
      </c>
      <c r="B39" s="123"/>
      <c r="C39" s="123"/>
      <c r="D39" s="124"/>
      <c r="E39" s="136"/>
      <c r="F39" s="85">
        <f>calcul!J27*100</f>
        <v>0</v>
      </c>
      <c r="G39" s="86">
        <f>calcul!K27</f>
        <v>0</v>
      </c>
      <c r="H39" s="131">
        <f>calcul!L27</f>
        <v>0</v>
      </c>
      <c r="I39" s="87">
        <f>calcul!M27</f>
        <v>0</v>
      </c>
    </row>
    <row r="40" spans="1:16" ht="15" thickBot="1" x14ac:dyDescent="0.35">
      <c r="A40" s="73"/>
      <c r="B40" s="64"/>
      <c r="C40" s="64"/>
      <c r="D40" s="64"/>
      <c r="E40" s="64"/>
      <c r="F40" s="73"/>
      <c r="G40" s="64"/>
      <c r="H40" s="132" t="s">
        <v>183</v>
      </c>
      <c r="I40" s="130">
        <f>SUM(I20:I39)</f>
        <v>399</v>
      </c>
    </row>
    <row r="41" spans="1:16" x14ac:dyDescent="0.3">
      <c r="A41" s="47"/>
      <c r="B41" s="47"/>
      <c r="C41" s="47"/>
      <c r="D41" s="47"/>
      <c r="E41" s="47"/>
    </row>
    <row r="43" spans="1:16" x14ac:dyDescent="0.3">
      <c r="D43" s="143">
        <v>4</v>
      </c>
    </row>
    <row r="44" spans="1:16" x14ac:dyDescent="0.3">
      <c r="D44" s="148"/>
    </row>
    <row r="45" spans="1:16" x14ac:dyDescent="0.3">
      <c r="C45" s="151">
        <v>5</v>
      </c>
      <c r="D45" s="149"/>
    </row>
    <row r="46" spans="1:16" x14ac:dyDescent="0.3">
      <c r="D46" s="149"/>
    </row>
    <row r="47" spans="1:16" x14ac:dyDescent="0.3">
      <c r="B47" s="140"/>
      <c r="C47" s="150">
        <v>6</v>
      </c>
      <c r="D47" s="149"/>
      <c r="E47" s="47"/>
      <c r="F47" s="45"/>
      <c r="G47" s="47"/>
      <c r="H47" s="47"/>
    </row>
    <row r="48" spans="1:16" x14ac:dyDescent="0.3">
      <c r="B48" s="117"/>
      <c r="C48" s="47"/>
      <c r="D48" s="141"/>
      <c r="E48" s="47"/>
      <c r="F48" s="47"/>
      <c r="G48" s="47"/>
      <c r="H48" s="47"/>
    </row>
    <row r="49" spans="1:8" x14ac:dyDescent="0.3">
      <c r="B49" s="117"/>
      <c r="C49" s="47"/>
      <c r="D49" s="141"/>
      <c r="E49" s="47"/>
      <c r="F49" s="47"/>
      <c r="G49" s="47"/>
      <c r="H49" s="47"/>
    </row>
    <row r="50" spans="1:8" x14ac:dyDescent="0.3">
      <c r="B50" s="117"/>
      <c r="C50" s="47"/>
      <c r="D50" s="141"/>
      <c r="E50" s="47"/>
      <c r="F50" s="47"/>
      <c r="G50" s="47"/>
      <c r="H50" s="47"/>
    </row>
    <row r="51" spans="1:8" x14ac:dyDescent="0.3">
      <c r="B51" s="117"/>
      <c r="C51" s="47"/>
      <c r="D51" s="147"/>
      <c r="E51" s="144">
        <v>3</v>
      </c>
      <c r="F51" s="47"/>
      <c r="G51" s="47"/>
      <c r="H51" s="47"/>
    </row>
    <row r="52" spans="1:8" x14ac:dyDescent="0.3">
      <c r="A52" s="151">
        <v>1</v>
      </c>
      <c r="B52" s="117"/>
      <c r="C52" s="47"/>
      <c r="D52" s="141"/>
      <c r="E52" s="47"/>
      <c r="F52" s="47"/>
      <c r="G52" s="47"/>
      <c r="H52" s="47"/>
    </row>
    <row r="53" spans="1:8" x14ac:dyDescent="0.3">
      <c r="B53" s="117"/>
      <c r="C53" s="47"/>
      <c r="D53" s="141"/>
      <c r="E53" s="47"/>
      <c r="F53" s="47"/>
      <c r="G53" s="47"/>
      <c r="H53" s="107"/>
    </row>
    <row r="54" spans="1:8" x14ac:dyDescent="0.3">
      <c r="B54" s="117"/>
      <c r="C54" s="47"/>
      <c r="D54" s="141"/>
      <c r="E54" s="47"/>
      <c r="F54" s="47"/>
      <c r="G54" s="47"/>
      <c r="H54" s="47"/>
    </row>
    <row r="55" spans="1:8" x14ac:dyDescent="0.3">
      <c r="B55" s="146"/>
      <c r="C55" s="47"/>
      <c r="D55" s="141"/>
      <c r="E55" s="47"/>
      <c r="F55" s="47"/>
      <c r="G55" s="47"/>
      <c r="H55" s="47"/>
    </row>
    <row r="56" spans="1:8" x14ac:dyDescent="0.3">
      <c r="B56" s="117"/>
      <c r="C56" s="47"/>
      <c r="D56" s="141"/>
      <c r="E56" s="47"/>
      <c r="F56" s="47"/>
      <c r="G56" s="47"/>
      <c r="H56" s="47"/>
    </row>
    <row r="57" spans="1:8" x14ac:dyDescent="0.3">
      <c r="B57" s="139"/>
      <c r="C57" s="140"/>
      <c r="D57" s="142"/>
      <c r="E57" s="47"/>
      <c r="F57" s="47"/>
      <c r="G57" s="47"/>
      <c r="H57" s="47"/>
    </row>
    <row r="58" spans="1:8" x14ac:dyDescent="0.3">
      <c r="B58" s="47"/>
      <c r="C58" s="45">
        <v>2</v>
      </c>
      <c r="D58" s="47"/>
      <c r="E58" s="47"/>
      <c r="F58" s="47"/>
      <c r="G58" s="47"/>
      <c r="H58" s="47"/>
    </row>
    <row r="59" spans="1:8" x14ac:dyDescent="0.3">
      <c r="B59" s="47"/>
      <c r="C59" s="47"/>
      <c r="D59" s="47"/>
      <c r="E59" s="47"/>
      <c r="F59" s="47"/>
      <c r="G59" s="47"/>
      <c r="H59" s="47"/>
    </row>
    <row r="60" spans="1:8" ht="25.8" x14ac:dyDescent="0.5">
      <c r="A60" s="152" t="s">
        <v>221</v>
      </c>
      <c r="B60" s="47"/>
      <c r="C60" s="47"/>
      <c r="D60" s="47"/>
      <c r="E60" s="145"/>
      <c r="F60" s="47"/>
      <c r="G60" s="47"/>
      <c r="H60" s="47"/>
    </row>
    <row r="61" spans="1:8" x14ac:dyDescent="0.3">
      <c r="B61" s="47"/>
      <c r="C61" s="47"/>
      <c r="D61" s="47"/>
      <c r="E61" s="47"/>
      <c r="F61" s="47"/>
      <c r="G61" s="47"/>
      <c r="H61" s="47"/>
    </row>
    <row r="62" spans="1:8" x14ac:dyDescent="0.3">
      <c r="A62" s="70"/>
      <c r="B62" s="126" t="s">
        <v>100</v>
      </c>
      <c r="C62" s="126" t="s">
        <v>101</v>
      </c>
      <c r="D62" s="127" t="s">
        <v>208</v>
      </c>
      <c r="E62" s="127" t="s">
        <v>209</v>
      </c>
    </row>
    <row r="63" spans="1:8" x14ac:dyDescent="0.3">
      <c r="A63" s="125" t="s">
        <v>5</v>
      </c>
      <c r="B63" s="123">
        <v>4</v>
      </c>
      <c r="C63" s="123">
        <v>5</v>
      </c>
      <c r="D63" s="124" t="s">
        <v>133</v>
      </c>
      <c r="E63" s="124" t="s">
        <v>133</v>
      </c>
    </row>
    <row r="64" spans="1:8" x14ac:dyDescent="0.3">
      <c r="A64" s="125" t="s">
        <v>6</v>
      </c>
      <c r="B64" s="123">
        <v>10</v>
      </c>
      <c r="C64" s="123">
        <v>5</v>
      </c>
      <c r="D64" s="124" t="s">
        <v>133</v>
      </c>
      <c r="E64" s="124" t="s">
        <v>133</v>
      </c>
    </row>
    <row r="65" spans="1:5" x14ac:dyDescent="0.3">
      <c r="A65" s="125" t="s">
        <v>7</v>
      </c>
      <c r="B65" s="123">
        <v>6</v>
      </c>
      <c r="C65" s="123">
        <v>5</v>
      </c>
      <c r="D65" s="124" t="s">
        <v>133</v>
      </c>
      <c r="E65" s="124" t="s">
        <v>133</v>
      </c>
    </row>
    <row r="66" spans="1:5" x14ac:dyDescent="0.3">
      <c r="A66" s="125" t="s">
        <v>8</v>
      </c>
      <c r="B66" s="123">
        <v>3</v>
      </c>
      <c r="C66" s="123">
        <v>5</v>
      </c>
      <c r="D66" s="124" t="s">
        <v>133</v>
      </c>
      <c r="E66" s="124" t="s">
        <v>133</v>
      </c>
    </row>
    <row r="67" spans="1:5" x14ac:dyDescent="0.3">
      <c r="A67" s="125" t="s">
        <v>9</v>
      </c>
      <c r="B67" s="123">
        <v>2</v>
      </c>
      <c r="C67" s="123">
        <v>5</v>
      </c>
      <c r="D67" s="124" t="s">
        <v>133</v>
      </c>
      <c r="E67" s="124" t="s">
        <v>132</v>
      </c>
    </row>
    <row r="68" spans="1:5" x14ac:dyDescent="0.3">
      <c r="A68" s="125" t="s">
        <v>10</v>
      </c>
      <c r="B68" s="123">
        <v>7</v>
      </c>
      <c r="C68" s="123">
        <v>5</v>
      </c>
      <c r="D68" s="124" t="s">
        <v>132</v>
      </c>
      <c r="E68" s="124" t="s">
        <v>133</v>
      </c>
    </row>
  </sheetData>
  <sheetProtection password="CC9D" sheet="1" objects="1" scenarios="1"/>
  <mergeCells count="5">
    <mergeCell ref="K4:P4"/>
    <mergeCell ref="O33:P33"/>
    <mergeCell ref="A2:H2"/>
    <mergeCell ref="F13:I13"/>
    <mergeCell ref="A13:E13"/>
  </mergeCells>
  <conditionalFormatting sqref="F20:I39">
    <cfRule type="expression" dxfId="8" priority="16">
      <formula>$C20</formula>
    </cfRule>
  </conditionalFormatting>
  <conditionalFormatting sqref="D20:E39">
    <cfRule type="expression" dxfId="7" priority="17">
      <formula>$C20</formula>
    </cfRule>
  </conditionalFormatting>
  <conditionalFormatting sqref="E7:E8">
    <cfRule type="expression" dxfId="6" priority="18">
      <formula>$D$8</formula>
    </cfRule>
  </conditionalFormatting>
  <conditionalFormatting sqref="F7:F8">
    <cfRule type="expression" dxfId="5" priority="19">
      <formula>IF($D$8&gt;1,1,0)</formula>
    </cfRule>
  </conditionalFormatting>
  <conditionalFormatting sqref="E8">
    <cfRule type="expression" dxfId="4" priority="20">
      <formula>$D$8</formula>
    </cfRule>
  </conditionalFormatting>
  <conditionalFormatting sqref="F8">
    <cfRule type="expression" dxfId="3" priority="21">
      <formula>IF($D$8&gt;1,1,0)</formula>
    </cfRule>
  </conditionalFormatting>
  <conditionalFormatting sqref="D63:E68">
    <cfRule type="expression" dxfId="2" priority="1">
      <formula>$C63</formula>
    </cfRule>
  </conditionalFormatting>
  <dataValidations count="8">
    <dataValidation type="list" showInputMessage="1" showErrorMessage="1" sqref="D20:E39 D63:E68">
      <formula1>angle</formula1>
    </dataValidation>
    <dataValidation type="list" showInputMessage="1" showErrorMessage="1" sqref="E5">
      <formula1>fleche</formula1>
    </dataValidation>
    <dataValidation type="list" showInputMessage="1" showErrorMessage="1" sqref="D8">
      <formula1>tasseaux</formula1>
    </dataValidation>
    <dataValidation type="list" showInputMessage="1" showErrorMessage="1" sqref="C5">
      <formula1>entraxe</formula1>
    </dataValidation>
    <dataValidation type="list" showInputMessage="1" showErrorMessage="1" sqref="F5">
      <formula1>zone</formula1>
    </dataValidation>
    <dataValidation type="list" allowBlank="1" showInputMessage="1" showErrorMessage="1" sqref="G5">
      <formula1>hauteur</formula1>
    </dataValidation>
    <dataValidation type="list" allowBlank="1" showInputMessage="1" showErrorMessage="1" sqref="H5">
      <formula1>exposition</formula1>
    </dataValidation>
    <dataValidation allowBlank="1" sqref="A5"/>
  </dataValidations>
  <pageMargins left="0.25" right="0.25" top="0.75" bottom="0.75" header="0.3" footer="0.3"/>
  <pageSetup paperSize="9" scale="8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5"/>
  <sheetViews>
    <sheetView workbookViewId="0">
      <selection activeCell="D12" sqref="D12"/>
    </sheetView>
  </sheetViews>
  <sheetFormatPr baseColWidth="10" defaultRowHeight="14.4" x14ac:dyDescent="0.3"/>
  <cols>
    <col min="1" max="1" width="19.109375" style="2" customWidth="1"/>
    <col min="2" max="3" width="11.5546875" style="2"/>
    <col min="4" max="4" width="22.33203125" style="2" customWidth="1"/>
    <col min="5" max="22" width="11.5546875" style="2"/>
    <col min="23" max="23" width="15.33203125" style="2" bestFit="1" customWidth="1"/>
    <col min="24" max="16384" width="11.5546875" style="2"/>
  </cols>
  <sheetData>
    <row r="1" spans="1:42" ht="43.8" thickBot="1" x14ac:dyDescent="0.35">
      <c r="B1" s="2" t="s">
        <v>3</v>
      </c>
      <c r="E1" s="2" t="s">
        <v>42</v>
      </c>
      <c r="U1" s="1" t="s">
        <v>106</v>
      </c>
      <c r="V1" s="1" t="s">
        <v>107</v>
      </c>
      <c r="W1" s="1" t="s">
        <v>128</v>
      </c>
      <c r="X1" s="1" t="s">
        <v>129</v>
      </c>
      <c r="Y1" s="164" t="s">
        <v>108</v>
      </c>
      <c r="Z1" s="165"/>
      <c r="AA1" s="5" t="s">
        <v>109</v>
      </c>
      <c r="AB1" s="6" t="s">
        <v>110</v>
      </c>
      <c r="AC1" s="7" t="s">
        <v>111</v>
      </c>
      <c r="AD1" s="6" t="s">
        <v>112</v>
      </c>
      <c r="AE1" s="6" t="s">
        <v>113</v>
      </c>
      <c r="AF1" s="6" t="s">
        <v>114</v>
      </c>
      <c r="AG1" s="6" t="s">
        <v>115</v>
      </c>
      <c r="AH1" s="6" t="s">
        <v>131</v>
      </c>
      <c r="AI1" s="6" t="s">
        <v>116</v>
      </c>
      <c r="AJ1" s="8" t="s">
        <v>117</v>
      </c>
      <c r="AK1" s="9" t="s">
        <v>118</v>
      </c>
      <c r="AO1" s="166" t="s">
        <v>119</v>
      </c>
      <c r="AP1" s="10" t="s">
        <v>120</v>
      </c>
    </row>
    <row r="2" spans="1:42" ht="15" thickBot="1" x14ac:dyDescent="0.35">
      <c r="A2" s="2" t="s">
        <v>41</v>
      </c>
      <c r="B2" s="2" t="s">
        <v>2</v>
      </c>
      <c r="C2" s="2" t="s">
        <v>4</v>
      </c>
      <c r="F2" s="2" t="s">
        <v>95</v>
      </c>
      <c r="J2" s="2" t="s">
        <v>67</v>
      </c>
      <c r="N2" s="3" t="s">
        <v>68</v>
      </c>
      <c r="P2" s="11" t="s">
        <v>69</v>
      </c>
      <c r="Q2" s="11" t="s">
        <v>70</v>
      </c>
      <c r="U2" s="2" t="s">
        <v>121</v>
      </c>
      <c r="V2" s="2" t="str">
        <f>+CONCATENATE("C",AA2)</f>
        <v>C40</v>
      </c>
      <c r="W2" s="2" t="s">
        <v>146</v>
      </c>
      <c r="X2" s="12">
        <v>100</v>
      </c>
      <c r="Y2" s="168" t="s">
        <v>122</v>
      </c>
      <c r="Z2" s="170" t="s">
        <v>123</v>
      </c>
      <c r="AA2" s="13">
        <v>40</v>
      </c>
      <c r="AB2" s="14">
        <v>10000</v>
      </c>
      <c r="AC2" s="15">
        <f>[1]B40!$G$36</f>
        <v>0.12488291960526313</v>
      </c>
      <c r="AD2" s="16">
        <f>AP3</f>
        <v>16.690000000000001</v>
      </c>
      <c r="AE2" s="17">
        <f>AD2*1.35/0.9</f>
        <v>25.035000000000004</v>
      </c>
      <c r="AF2" s="14"/>
      <c r="AG2" s="18">
        <v>61.24</v>
      </c>
      <c r="AH2" s="19">
        <f>X2/100*AG2</f>
        <v>61.24</v>
      </c>
      <c r="AI2" s="20">
        <f>AC2*1.48/0.85/0.9</f>
        <v>0.24160355688338489</v>
      </c>
      <c r="AJ2" s="21"/>
      <c r="AK2" s="22">
        <v>0</v>
      </c>
      <c r="AL2" s="23">
        <f>AI2/0.493</f>
        <v>0.4900680667005779</v>
      </c>
      <c r="AM2" s="23">
        <f>AL2*100</f>
        <v>49.006806670057792</v>
      </c>
      <c r="AN2" s="23">
        <f>AL2*0.58</f>
        <v>0.28423947868633515</v>
      </c>
      <c r="AO2" s="167"/>
      <c r="AP2" s="24" t="s">
        <v>124</v>
      </c>
    </row>
    <row r="3" spans="1:42" ht="15" thickBot="1" x14ac:dyDescent="0.35">
      <c r="A3" s="2">
        <v>30</v>
      </c>
      <c r="B3" s="2">
        <v>30</v>
      </c>
      <c r="C3" s="2">
        <v>43</v>
      </c>
      <c r="D3" s="2" t="s">
        <v>146</v>
      </c>
      <c r="E3" s="2">
        <v>40</v>
      </c>
      <c r="F3" s="2">
        <v>19</v>
      </c>
      <c r="G3" s="2">
        <v>71</v>
      </c>
      <c r="J3" s="2" t="s">
        <v>65</v>
      </c>
      <c r="K3" s="2" t="s">
        <v>66</v>
      </c>
      <c r="N3" s="3" t="s">
        <v>71</v>
      </c>
      <c r="O3" s="2">
        <v>1</v>
      </c>
      <c r="P3" s="3">
        <v>50</v>
      </c>
      <c r="Q3" s="3">
        <v>87.5</v>
      </c>
      <c r="U3" s="2" t="s">
        <v>121</v>
      </c>
      <c r="V3" s="2" t="str">
        <f t="shared" ref="V3:V33" si="0">+CONCATENATE("C",AA3)</f>
        <v>C50</v>
      </c>
      <c r="W3" s="2" t="s">
        <v>147</v>
      </c>
      <c r="X3" s="12">
        <v>100</v>
      </c>
      <c r="Y3" s="169"/>
      <c r="Z3" s="171"/>
      <c r="AA3" s="25">
        <v>50</v>
      </c>
      <c r="AB3" s="26">
        <v>10000</v>
      </c>
      <c r="AC3" s="27">
        <f>[1]B50!$G$36</f>
        <v>0.13351281710526314</v>
      </c>
      <c r="AD3" s="16">
        <f>AP4</f>
        <v>17.812000000000001</v>
      </c>
      <c r="AE3" s="26"/>
      <c r="AF3" s="26"/>
      <c r="AG3" s="18">
        <v>65.349999999999994</v>
      </c>
      <c r="AH3" s="19">
        <f t="shared" ref="AH3:AH33" si="1">X3/100*AG3</f>
        <v>65.349999999999994</v>
      </c>
      <c r="AI3" s="20">
        <f t="shared" ref="AI3:AI33" si="2">AC3*1.48/0.85/0.9</f>
        <v>0.25829930629514958</v>
      </c>
      <c r="AJ3" s="28"/>
      <c r="AK3" s="29">
        <v>0</v>
      </c>
      <c r="AL3" s="23">
        <f t="shared" ref="AL3:AL33" si="3">AI3/0.493</f>
        <v>0.52393368416866037</v>
      </c>
      <c r="AM3" s="23">
        <f t="shared" ref="AM3:AM33" si="4">AL3*100</f>
        <v>52.393368416866039</v>
      </c>
      <c r="AN3" s="23">
        <f t="shared" ref="AN3:AN33" si="5">AL3*0.58</f>
        <v>0.30388153681782298</v>
      </c>
      <c r="AO3" s="30">
        <v>40</v>
      </c>
      <c r="AP3" s="31">
        <v>16.690000000000001</v>
      </c>
    </row>
    <row r="4" spans="1:42" ht="15" thickBot="1" x14ac:dyDescent="0.35">
      <c r="A4" s="2">
        <v>40</v>
      </c>
      <c r="B4" s="2">
        <v>30</v>
      </c>
      <c r="C4" s="2">
        <v>43</v>
      </c>
      <c r="D4" s="2" t="s">
        <v>146</v>
      </c>
      <c r="E4" s="2">
        <v>40</v>
      </c>
      <c r="F4" s="2">
        <v>19</v>
      </c>
      <c r="G4" s="2">
        <v>71</v>
      </c>
      <c r="J4" s="2">
        <v>10</v>
      </c>
      <c r="K4" s="32">
        <f t="shared" ref="K4:K31" si="6">2.5*(J4+18)/(J4+60)</f>
        <v>1</v>
      </c>
      <c r="N4" s="3" t="s">
        <v>72</v>
      </c>
      <c r="O4" s="2">
        <v>2</v>
      </c>
      <c r="P4" s="3">
        <v>60</v>
      </c>
      <c r="Q4" s="3">
        <v>105</v>
      </c>
      <c r="U4" s="2" t="s">
        <v>121</v>
      </c>
      <c r="V4" s="2" t="str">
        <f t="shared" si="0"/>
        <v>C60</v>
      </c>
      <c r="W4" s="2" t="s">
        <v>148</v>
      </c>
      <c r="X4" s="12">
        <v>100</v>
      </c>
      <c r="Y4" s="169"/>
      <c r="Z4" s="171"/>
      <c r="AA4" s="25">
        <v>60</v>
      </c>
      <c r="AB4" s="33">
        <v>10000</v>
      </c>
      <c r="AC4" s="27">
        <f>[1]B60!$G$36</f>
        <v>0.14214271460526315</v>
      </c>
      <c r="AD4" s="16">
        <f>AP5</f>
        <v>18.934000000000001</v>
      </c>
      <c r="AE4" s="26"/>
      <c r="AF4" s="26"/>
      <c r="AG4" s="18">
        <v>69.459999999999994</v>
      </c>
      <c r="AH4" s="19">
        <f t="shared" si="1"/>
        <v>69.459999999999994</v>
      </c>
      <c r="AI4" s="20">
        <f t="shared" si="2"/>
        <v>0.27499505570691429</v>
      </c>
      <c r="AJ4" s="28"/>
      <c r="AK4" s="29">
        <v>0</v>
      </c>
      <c r="AL4" s="23">
        <f t="shared" si="3"/>
        <v>0.55779930163674296</v>
      </c>
      <c r="AM4" s="23">
        <f t="shared" si="4"/>
        <v>55.779930163674294</v>
      </c>
      <c r="AN4" s="23">
        <f t="shared" si="5"/>
        <v>0.32352359494931088</v>
      </c>
      <c r="AO4" s="30">
        <v>50</v>
      </c>
      <c r="AP4" s="31">
        <v>17.812000000000001</v>
      </c>
    </row>
    <row r="5" spans="1:42" ht="15" thickBot="1" x14ac:dyDescent="0.35">
      <c r="A5" s="2">
        <v>50</v>
      </c>
      <c r="B5" s="2">
        <v>30</v>
      </c>
      <c r="C5" s="2">
        <v>43</v>
      </c>
      <c r="D5" s="2" t="s">
        <v>147</v>
      </c>
      <c r="E5" s="2">
        <v>50</v>
      </c>
      <c r="F5" s="2">
        <v>19</v>
      </c>
      <c r="G5" s="2">
        <v>71</v>
      </c>
      <c r="J5" s="2">
        <v>15</v>
      </c>
      <c r="K5" s="32">
        <f t="shared" si="6"/>
        <v>1.1000000000000001</v>
      </c>
      <c r="N5" s="3" t="s">
        <v>73</v>
      </c>
      <c r="O5" s="2">
        <v>3</v>
      </c>
      <c r="P5" s="3">
        <v>75</v>
      </c>
      <c r="Q5" s="3">
        <v>131</v>
      </c>
      <c r="U5" s="2" t="s">
        <v>121</v>
      </c>
      <c r="V5" s="2" t="str">
        <f t="shared" si="0"/>
        <v>C70</v>
      </c>
      <c r="W5" s="2" t="s">
        <v>149</v>
      </c>
      <c r="X5" s="12">
        <v>100</v>
      </c>
      <c r="Y5" s="169"/>
      <c r="Z5" s="34"/>
      <c r="AA5" s="35">
        <v>70</v>
      </c>
      <c r="AB5" s="36">
        <v>10000</v>
      </c>
      <c r="AC5" s="37">
        <f>[1]B70!$G$36</f>
        <v>0.15077261210526316</v>
      </c>
      <c r="AD5" s="38">
        <f>AC5*133</f>
        <v>20.052757410000002</v>
      </c>
      <c r="AE5" s="39"/>
      <c r="AF5" s="39"/>
      <c r="AG5" s="18"/>
      <c r="AH5" s="19">
        <f t="shared" si="1"/>
        <v>0</v>
      </c>
      <c r="AI5" s="20">
        <f t="shared" si="2"/>
        <v>0.29169080511867906</v>
      </c>
      <c r="AJ5" s="40"/>
      <c r="AK5" s="41">
        <v>0</v>
      </c>
      <c r="AL5" s="23">
        <f t="shared" si="3"/>
        <v>0.59166491910482566</v>
      </c>
      <c r="AM5" s="23">
        <f t="shared" si="4"/>
        <v>59.166491910482563</v>
      </c>
      <c r="AN5" s="23">
        <f t="shared" si="5"/>
        <v>0.34316565308079888</v>
      </c>
      <c r="AO5" s="30">
        <v>60</v>
      </c>
      <c r="AP5" s="31">
        <v>18.934000000000001</v>
      </c>
    </row>
    <row r="6" spans="1:42" ht="15" thickBot="1" x14ac:dyDescent="0.35">
      <c r="A6" s="2">
        <v>60</v>
      </c>
      <c r="B6" s="2">
        <v>30</v>
      </c>
      <c r="C6" s="2">
        <v>43</v>
      </c>
      <c r="D6" s="2" t="s">
        <v>148</v>
      </c>
      <c r="E6" s="2">
        <v>60</v>
      </c>
      <c r="F6" s="2">
        <v>19</v>
      </c>
      <c r="G6" s="2">
        <v>71</v>
      </c>
      <c r="J6" s="2">
        <v>20</v>
      </c>
      <c r="K6" s="32">
        <f t="shared" si="6"/>
        <v>1.1875</v>
      </c>
      <c r="N6" s="3" t="s">
        <v>74</v>
      </c>
      <c r="O6" s="2">
        <v>4</v>
      </c>
      <c r="P6" s="3">
        <v>90</v>
      </c>
      <c r="Q6" s="3">
        <v>157.5</v>
      </c>
      <c r="U6" s="2" t="s">
        <v>125</v>
      </c>
      <c r="V6" s="2" t="str">
        <f t="shared" si="0"/>
        <v>C80</v>
      </c>
      <c r="W6" s="2" t="s">
        <v>150</v>
      </c>
      <c r="X6" s="12">
        <v>100</v>
      </c>
      <c r="Y6" s="169"/>
      <c r="Z6" s="172" t="s">
        <v>126</v>
      </c>
      <c r="AA6" s="42">
        <v>80</v>
      </c>
      <c r="AB6" s="26">
        <v>10000</v>
      </c>
      <c r="AC6" s="43">
        <f>[2]B80!$G$36</f>
        <v>0.16407677861111111</v>
      </c>
      <c r="AD6" s="44">
        <f>AP6</f>
        <v>21.46</v>
      </c>
      <c r="AE6" s="45"/>
      <c r="AF6" s="45"/>
      <c r="AG6" s="46">
        <v>78.73</v>
      </c>
      <c r="AH6" s="19">
        <f t="shared" si="1"/>
        <v>78.73</v>
      </c>
      <c r="AI6" s="20">
        <f t="shared" si="2"/>
        <v>0.31742958476397964</v>
      </c>
      <c r="AJ6" s="47"/>
      <c r="AK6" s="48">
        <v>0</v>
      </c>
      <c r="AL6" s="23">
        <f t="shared" si="3"/>
        <v>0.64387339708717983</v>
      </c>
      <c r="AM6" s="23">
        <f t="shared" si="4"/>
        <v>64.387339708717988</v>
      </c>
      <c r="AN6" s="23">
        <f t="shared" si="5"/>
        <v>0.37344657031056427</v>
      </c>
      <c r="AO6" s="30">
        <v>80</v>
      </c>
      <c r="AP6" s="31">
        <v>21.46</v>
      </c>
    </row>
    <row r="7" spans="1:42" ht="15" thickBot="1" x14ac:dyDescent="0.35">
      <c r="A7" s="2">
        <v>70</v>
      </c>
      <c r="B7" s="2">
        <v>30</v>
      </c>
      <c r="C7" s="2">
        <v>43</v>
      </c>
      <c r="D7" s="2" t="s">
        <v>150</v>
      </c>
      <c r="E7" s="2">
        <v>80</v>
      </c>
      <c r="F7" s="2">
        <v>19</v>
      </c>
      <c r="G7" s="2">
        <v>71</v>
      </c>
      <c r="J7" s="2">
        <v>25</v>
      </c>
      <c r="K7" s="32">
        <f t="shared" si="6"/>
        <v>1.2647058823529411</v>
      </c>
      <c r="N7" s="3" t="s">
        <v>75</v>
      </c>
      <c r="O7" s="2">
        <v>5</v>
      </c>
      <c r="P7" s="3">
        <v>120</v>
      </c>
      <c r="Q7" s="3">
        <v>210</v>
      </c>
      <c r="U7" s="2" t="s">
        <v>125</v>
      </c>
      <c r="V7" s="2" t="str">
        <f t="shared" si="0"/>
        <v>C90</v>
      </c>
      <c r="W7" s="2" t="s">
        <v>151</v>
      </c>
      <c r="X7" s="12"/>
      <c r="Y7" s="169"/>
      <c r="Z7" s="172"/>
      <c r="AA7" s="42">
        <v>90</v>
      </c>
      <c r="AB7" s="26">
        <v>10000</v>
      </c>
      <c r="AC7" s="43">
        <f>[2]B90!$G$36</f>
        <v>0.1727066761111111</v>
      </c>
      <c r="AD7" s="49">
        <f>AC7*133</f>
        <v>22.969987922777776</v>
      </c>
      <c r="AE7" s="45"/>
      <c r="AF7" s="45"/>
      <c r="AG7" s="46">
        <v>82.85</v>
      </c>
      <c r="AH7" s="19">
        <f t="shared" si="1"/>
        <v>0</v>
      </c>
      <c r="AI7" s="20">
        <f t="shared" si="2"/>
        <v>0.3341253341757443</v>
      </c>
      <c r="AJ7" s="47"/>
      <c r="AK7" s="48">
        <v>0</v>
      </c>
      <c r="AL7" s="23">
        <f t="shared" si="3"/>
        <v>0.67773901455526231</v>
      </c>
      <c r="AM7" s="23">
        <f t="shared" si="4"/>
        <v>67.773901455526229</v>
      </c>
      <c r="AN7" s="23">
        <f t="shared" si="5"/>
        <v>0.39308862844205211</v>
      </c>
      <c r="AO7" s="30">
        <v>100</v>
      </c>
      <c r="AP7" s="31">
        <v>23.704000000000001</v>
      </c>
    </row>
    <row r="8" spans="1:42" ht="15" thickBot="1" x14ac:dyDescent="0.35">
      <c r="A8" s="2">
        <v>80</v>
      </c>
      <c r="B8" s="2">
        <v>30</v>
      </c>
      <c r="C8" s="2">
        <v>43</v>
      </c>
      <c r="D8" s="2" t="s">
        <v>150</v>
      </c>
      <c r="E8" s="2">
        <v>80</v>
      </c>
      <c r="F8" s="2">
        <v>29</v>
      </c>
      <c r="G8" s="2">
        <v>71</v>
      </c>
      <c r="J8" s="2">
        <v>30</v>
      </c>
      <c r="K8" s="32">
        <f t="shared" si="6"/>
        <v>1.3333333333333333</v>
      </c>
      <c r="U8" s="2" t="s">
        <v>125</v>
      </c>
      <c r="V8" s="2" t="str">
        <f t="shared" si="0"/>
        <v>C100</v>
      </c>
      <c r="W8" s="2" t="s">
        <v>152</v>
      </c>
      <c r="X8" s="12">
        <v>75</v>
      </c>
      <c r="Y8" s="169"/>
      <c r="Z8" s="172"/>
      <c r="AA8" s="42">
        <v>100</v>
      </c>
      <c r="AB8" s="26">
        <v>10000</v>
      </c>
      <c r="AC8" s="43">
        <f>[2]B100!$G$36</f>
        <v>0.18133657361111108</v>
      </c>
      <c r="AD8" s="44">
        <f>AP7</f>
        <v>23.704000000000001</v>
      </c>
      <c r="AE8" s="45"/>
      <c r="AF8" s="45"/>
      <c r="AG8" s="46">
        <v>86.97</v>
      </c>
      <c r="AH8" s="19">
        <f t="shared" si="1"/>
        <v>65.227499999999992</v>
      </c>
      <c r="AI8" s="20">
        <f t="shared" si="2"/>
        <v>0.35082108358750907</v>
      </c>
      <c r="AJ8" s="47"/>
      <c r="AK8" s="48">
        <v>0</v>
      </c>
      <c r="AL8" s="23">
        <f t="shared" si="3"/>
        <v>0.71160463202334501</v>
      </c>
      <c r="AM8" s="23">
        <f t="shared" si="4"/>
        <v>71.160463202334498</v>
      </c>
      <c r="AN8" s="23">
        <f t="shared" si="5"/>
        <v>0.41273068657354006</v>
      </c>
      <c r="AO8" s="30">
        <v>120</v>
      </c>
      <c r="AP8" s="31">
        <v>25.948</v>
      </c>
    </row>
    <row r="9" spans="1:42" ht="15" thickBot="1" x14ac:dyDescent="0.35">
      <c r="A9" s="2">
        <v>90</v>
      </c>
      <c r="B9" s="2">
        <v>30</v>
      </c>
      <c r="C9" s="2">
        <v>43</v>
      </c>
      <c r="D9" s="2" t="s">
        <v>151</v>
      </c>
      <c r="E9" s="2">
        <v>90</v>
      </c>
      <c r="F9" s="2">
        <v>29</v>
      </c>
      <c r="G9" s="2">
        <v>71</v>
      </c>
      <c r="J9" s="2">
        <v>35</v>
      </c>
      <c r="K9" s="32">
        <f t="shared" si="6"/>
        <v>1.3947368421052631</v>
      </c>
      <c r="U9" s="2" t="s">
        <v>125</v>
      </c>
      <c r="V9" s="2" t="str">
        <f t="shared" si="0"/>
        <v>C110</v>
      </c>
      <c r="W9" s="2" t="s">
        <v>153</v>
      </c>
      <c r="X9" s="12">
        <v>75</v>
      </c>
      <c r="Y9" s="169"/>
      <c r="Z9" s="172"/>
      <c r="AA9" s="42">
        <v>110</v>
      </c>
      <c r="AB9" s="26">
        <v>10000</v>
      </c>
      <c r="AC9" s="43">
        <f>[2]B110!$G$36</f>
        <v>0.18996647111111106</v>
      </c>
      <c r="AD9" s="49">
        <f>AC9*133</f>
        <v>25.26554065777777</v>
      </c>
      <c r="AE9" s="45"/>
      <c r="AF9" s="45"/>
      <c r="AG9" s="46"/>
      <c r="AH9" s="19">
        <f t="shared" si="1"/>
        <v>0</v>
      </c>
      <c r="AI9" s="20">
        <f t="shared" si="2"/>
        <v>0.36751683299927368</v>
      </c>
      <c r="AJ9" s="47"/>
      <c r="AK9" s="48">
        <v>0</v>
      </c>
      <c r="AL9" s="23">
        <f t="shared" si="3"/>
        <v>0.74547024949142737</v>
      </c>
      <c r="AM9" s="23">
        <f t="shared" si="4"/>
        <v>74.547024949142738</v>
      </c>
      <c r="AN9" s="23">
        <f t="shared" si="5"/>
        <v>0.43237274470502784</v>
      </c>
      <c r="AO9" s="30">
        <v>130</v>
      </c>
      <c r="AP9" s="31">
        <v>25.948</v>
      </c>
    </row>
    <row r="10" spans="1:42" ht="15" thickBot="1" x14ac:dyDescent="0.35">
      <c r="A10" s="2">
        <v>100</v>
      </c>
      <c r="B10" s="2">
        <v>30</v>
      </c>
      <c r="C10" s="2">
        <v>43</v>
      </c>
      <c r="D10" s="2" t="s">
        <v>152</v>
      </c>
      <c r="E10" s="2">
        <v>100</v>
      </c>
      <c r="F10" s="2">
        <v>29</v>
      </c>
      <c r="G10" s="2">
        <v>71</v>
      </c>
      <c r="J10" s="2">
        <v>40</v>
      </c>
      <c r="K10" s="32">
        <f t="shared" si="6"/>
        <v>1.45</v>
      </c>
      <c r="U10" s="2" t="s">
        <v>125</v>
      </c>
      <c r="V10" s="2" t="str">
        <f t="shared" si="0"/>
        <v>C120</v>
      </c>
      <c r="W10" s="2" t="s">
        <v>175</v>
      </c>
      <c r="X10" s="12">
        <v>75</v>
      </c>
      <c r="Y10" s="169"/>
      <c r="Z10" s="172"/>
      <c r="AA10" s="42">
        <v>120</v>
      </c>
      <c r="AB10" s="26">
        <v>10000</v>
      </c>
      <c r="AC10" s="43">
        <f>[2]B120!$G$36</f>
        <v>0.19859636861111107</v>
      </c>
      <c r="AD10" s="44">
        <f>AP8</f>
        <v>25.948</v>
      </c>
      <c r="AE10" s="45"/>
      <c r="AF10" s="45"/>
      <c r="AG10" s="46">
        <v>95.2</v>
      </c>
      <c r="AH10" s="19">
        <f t="shared" si="1"/>
        <v>71.400000000000006</v>
      </c>
      <c r="AI10" s="20">
        <f t="shared" si="2"/>
        <v>0.38421258241103839</v>
      </c>
      <c r="AJ10" s="47"/>
      <c r="AK10" s="48">
        <v>0</v>
      </c>
      <c r="AL10" s="23">
        <f t="shared" si="3"/>
        <v>0.77933586695950996</v>
      </c>
      <c r="AM10" s="23">
        <f t="shared" si="4"/>
        <v>77.933586695950993</v>
      </c>
      <c r="AN10" s="23">
        <f t="shared" si="5"/>
        <v>0.45201480283651574</v>
      </c>
      <c r="AO10" s="30">
        <v>140</v>
      </c>
      <c r="AP10" s="31">
        <v>28.190999999999999</v>
      </c>
    </row>
    <row r="11" spans="1:42" ht="15" thickBot="1" x14ac:dyDescent="0.35">
      <c r="A11" s="2">
        <v>110</v>
      </c>
      <c r="B11" s="2">
        <v>22</v>
      </c>
      <c r="C11" s="2">
        <v>33</v>
      </c>
      <c r="D11" s="2" t="s">
        <v>175</v>
      </c>
      <c r="E11" s="2">
        <v>120</v>
      </c>
      <c r="F11" s="2">
        <v>29</v>
      </c>
      <c r="G11" s="2">
        <v>141</v>
      </c>
      <c r="J11" s="2">
        <v>45</v>
      </c>
      <c r="K11" s="32">
        <f t="shared" si="6"/>
        <v>1.5</v>
      </c>
      <c r="U11" s="2" t="s">
        <v>125</v>
      </c>
      <c r="V11" s="2" t="str">
        <f t="shared" si="0"/>
        <v>C130</v>
      </c>
      <c r="W11" s="2" t="s">
        <v>154</v>
      </c>
      <c r="X11" s="12">
        <v>75</v>
      </c>
      <c r="Y11" s="169"/>
      <c r="Z11" s="172"/>
      <c r="AA11" s="42">
        <v>130</v>
      </c>
      <c r="AB11" s="26">
        <v>10000</v>
      </c>
      <c r="AC11" s="43">
        <f>[2]B120!$G$36</f>
        <v>0.19859636861111107</v>
      </c>
      <c r="AD11" s="49">
        <f>AC11*133</f>
        <v>26.413317025277774</v>
      </c>
      <c r="AE11" s="45"/>
      <c r="AF11" s="45"/>
      <c r="AG11" s="46">
        <v>95.2</v>
      </c>
      <c r="AH11" s="19">
        <f t="shared" si="1"/>
        <v>71.400000000000006</v>
      </c>
      <c r="AI11" s="20">
        <f t="shared" si="2"/>
        <v>0.38421258241103839</v>
      </c>
      <c r="AJ11" s="47"/>
      <c r="AK11" s="48">
        <v>0</v>
      </c>
      <c r="AL11" s="23">
        <f t="shared" si="3"/>
        <v>0.77933586695950996</v>
      </c>
      <c r="AM11" s="23">
        <f t="shared" si="4"/>
        <v>77.933586695950993</v>
      </c>
      <c r="AN11" s="23">
        <f t="shared" si="5"/>
        <v>0.45201480283651574</v>
      </c>
      <c r="AO11" s="30">
        <v>150</v>
      </c>
      <c r="AP11" s="31">
        <v>29.629000000000001</v>
      </c>
    </row>
    <row r="12" spans="1:42" ht="15" thickBot="1" x14ac:dyDescent="0.35">
      <c r="A12" s="2">
        <v>120</v>
      </c>
      <c r="B12" s="2">
        <v>22</v>
      </c>
      <c r="C12" s="2">
        <v>33</v>
      </c>
      <c r="D12" s="2" t="s">
        <v>175</v>
      </c>
      <c r="E12" s="2">
        <v>120</v>
      </c>
      <c r="F12" s="2">
        <v>29</v>
      </c>
      <c r="G12" s="2">
        <v>141</v>
      </c>
      <c r="J12" s="2">
        <v>50</v>
      </c>
      <c r="K12" s="32">
        <f t="shared" si="6"/>
        <v>1.5454545454545454</v>
      </c>
      <c r="U12" s="2" t="s">
        <v>125</v>
      </c>
      <c r="V12" s="2" t="str">
        <f t="shared" si="0"/>
        <v>C140</v>
      </c>
      <c r="W12" s="2" t="s">
        <v>155</v>
      </c>
      <c r="X12" s="12">
        <v>75</v>
      </c>
      <c r="Y12" s="169"/>
      <c r="Z12" s="172"/>
      <c r="AA12" s="42">
        <v>140</v>
      </c>
      <c r="AB12" s="26">
        <v>10000</v>
      </c>
      <c r="AC12" s="43">
        <f>[2]B140!$G$36</f>
        <v>0.21795616361111109</v>
      </c>
      <c r="AD12" s="44">
        <f t="shared" ref="AD12:AD20" si="7">AP10</f>
        <v>28.190999999999999</v>
      </c>
      <c r="AE12" s="45"/>
      <c r="AF12" s="45"/>
      <c r="AG12" s="46">
        <v>103.43</v>
      </c>
      <c r="AH12" s="19">
        <f t="shared" si="1"/>
        <v>77.572500000000005</v>
      </c>
      <c r="AI12" s="20">
        <f t="shared" si="2"/>
        <v>0.42166682633260705</v>
      </c>
      <c r="AJ12" s="47"/>
      <c r="AK12" s="48">
        <v>0</v>
      </c>
      <c r="AL12" s="23">
        <f t="shared" si="3"/>
        <v>0.85530796416350319</v>
      </c>
      <c r="AM12" s="23">
        <f t="shared" si="4"/>
        <v>85.530796416350313</v>
      </c>
      <c r="AN12" s="23">
        <f t="shared" si="5"/>
        <v>0.49607861921483182</v>
      </c>
      <c r="AO12" s="30">
        <v>160</v>
      </c>
      <c r="AP12" s="31">
        <v>30.751000000000001</v>
      </c>
    </row>
    <row r="13" spans="1:42" ht="15" thickBot="1" x14ac:dyDescent="0.35">
      <c r="A13" s="2">
        <v>130</v>
      </c>
      <c r="B13" s="2">
        <v>22</v>
      </c>
      <c r="C13" s="2">
        <v>33</v>
      </c>
      <c r="D13" s="2" t="s">
        <v>154</v>
      </c>
      <c r="E13" s="2">
        <v>130</v>
      </c>
      <c r="F13" s="2">
        <v>29</v>
      </c>
      <c r="G13" s="2">
        <v>141</v>
      </c>
      <c r="J13" s="2">
        <v>55</v>
      </c>
      <c r="K13" s="32">
        <f t="shared" si="6"/>
        <v>1.5869565217391304</v>
      </c>
      <c r="O13" s="2" t="s">
        <v>78</v>
      </c>
      <c r="P13" s="2" t="s">
        <v>79</v>
      </c>
      <c r="Q13" s="2" t="s">
        <v>80</v>
      </c>
      <c r="R13" s="2" t="s">
        <v>81</v>
      </c>
      <c r="S13" s="2" t="s">
        <v>82</v>
      </c>
      <c r="U13" s="2" t="s">
        <v>125</v>
      </c>
      <c r="V13" s="2" t="str">
        <f t="shared" si="0"/>
        <v>C150</v>
      </c>
      <c r="W13" s="2" t="s">
        <v>156</v>
      </c>
      <c r="X13" s="12">
        <v>75</v>
      </c>
      <c r="Y13" s="169"/>
      <c r="Z13" s="172"/>
      <c r="AA13" s="42">
        <v>150</v>
      </c>
      <c r="AB13" s="26">
        <v>10000</v>
      </c>
      <c r="AC13" s="43">
        <f>[2]B150!$G$36</f>
        <v>0.22901612647058819</v>
      </c>
      <c r="AD13" s="44">
        <f t="shared" si="7"/>
        <v>29.629000000000001</v>
      </c>
      <c r="AE13" s="45"/>
      <c r="AF13" s="45"/>
      <c r="AG13" s="46">
        <v>108.71</v>
      </c>
      <c r="AH13" s="19">
        <f t="shared" si="1"/>
        <v>81.532499999999999</v>
      </c>
      <c r="AI13" s="20">
        <f t="shared" si="2"/>
        <v>0.44306387866205293</v>
      </c>
      <c r="AJ13" s="47"/>
      <c r="AK13" s="48">
        <v>0</v>
      </c>
      <c r="AL13" s="23">
        <f t="shared" si="3"/>
        <v>0.89870969302647652</v>
      </c>
      <c r="AM13" s="23">
        <f t="shared" si="4"/>
        <v>89.870969302647651</v>
      </c>
      <c r="AN13" s="23">
        <f t="shared" si="5"/>
        <v>0.52125162195535635</v>
      </c>
      <c r="AO13" s="30">
        <v>170</v>
      </c>
      <c r="AP13" s="31">
        <v>31.873000000000001</v>
      </c>
    </row>
    <row r="14" spans="1:42" ht="15" thickBot="1" x14ac:dyDescent="0.35">
      <c r="A14" s="2">
        <v>140</v>
      </c>
      <c r="B14" s="2">
        <v>22</v>
      </c>
      <c r="C14" s="2">
        <v>33</v>
      </c>
      <c r="D14" s="2" t="s">
        <v>155</v>
      </c>
      <c r="E14" s="2">
        <v>140</v>
      </c>
      <c r="F14" s="2">
        <v>29</v>
      </c>
      <c r="G14" s="2">
        <v>141</v>
      </c>
      <c r="J14" s="2">
        <v>60</v>
      </c>
      <c r="K14" s="32">
        <f t="shared" si="6"/>
        <v>1.625</v>
      </c>
      <c r="N14" s="2" t="s">
        <v>94</v>
      </c>
      <c r="O14" s="2">
        <v>0.8</v>
      </c>
      <c r="P14" s="2">
        <v>0.8</v>
      </c>
      <c r="Q14" s="2">
        <v>0.8</v>
      </c>
      <c r="R14" s="2">
        <v>0.8</v>
      </c>
      <c r="S14" s="2">
        <v>1</v>
      </c>
      <c r="U14" s="2" t="s">
        <v>125</v>
      </c>
      <c r="V14" s="2" t="str">
        <f t="shared" si="0"/>
        <v>C160</v>
      </c>
      <c r="W14" s="2" t="s">
        <v>157</v>
      </c>
      <c r="X14" s="12">
        <v>50</v>
      </c>
      <c r="Y14" s="169"/>
      <c r="Z14" s="172"/>
      <c r="AA14" s="42">
        <v>160</v>
      </c>
      <c r="AB14" s="26">
        <v>10000</v>
      </c>
      <c r="AC14" s="43">
        <f>[2]B160!$G$36</f>
        <v>0.2376460239705882</v>
      </c>
      <c r="AD14" s="44">
        <f t="shared" si="7"/>
        <v>30.751000000000001</v>
      </c>
      <c r="AE14" s="45"/>
      <c r="AF14" s="45"/>
      <c r="AG14" s="46">
        <v>112.82</v>
      </c>
      <c r="AH14" s="19">
        <f t="shared" si="1"/>
        <v>56.41</v>
      </c>
      <c r="AI14" s="20">
        <f t="shared" si="2"/>
        <v>0.45975962807381765</v>
      </c>
      <c r="AJ14" s="47"/>
      <c r="AK14" s="48">
        <v>0</v>
      </c>
      <c r="AL14" s="23">
        <f t="shared" si="3"/>
        <v>0.93257531049455911</v>
      </c>
      <c r="AM14" s="23">
        <f t="shared" si="4"/>
        <v>93.257531049455906</v>
      </c>
      <c r="AN14" s="23">
        <f t="shared" si="5"/>
        <v>0.54089368008684424</v>
      </c>
      <c r="AO14" s="30">
        <v>180</v>
      </c>
      <c r="AP14" s="31">
        <v>32.994999999999997</v>
      </c>
    </row>
    <row r="15" spans="1:42" ht="15" thickBot="1" x14ac:dyDescent="0.35">
      <c r="A15" s="2">
        <v>150</v>
      </c>
      <c r="B15" s="2">
        <v>13</v>
      </c>
      <c r="C15" s="2">
        <v>23</v>
      </c>
      <c r="D15" s="2" t="s">
        <v>156</v>
      </c>
      <c r="E15" s="2">
        <v>150</v>
      </c>
      <c r="F15" s="2">
        <v>29</v>
      </c>
      <c r="G15" s="2">
        <v>141</v>
      </c>
      <c r="J15" s="2">
        <v>65</v>
      </c>
      <c r="K15" s="32">
        <f t="shared" si="6"/>
        <v>1.66</v>
      </c>
      <c r="N15" s="2" t="s">
        <v>77</v>
      </c>
      <c r="O15" s="2">
        <v>1.35</v>
      </c>
      <c r="P15" s="2">
        <v>1.3</v>
      </c>
      <c r="Q15" s="2">
        <v>1.25</v>
      </c>
      <c r="R15" s="2">
        <v>1.2</v>
      </c>
      <c r="S15" s="2">
        <v>1.2</v>
      </c>
      <c r="U15" s="2" t="s">
        <v>125</v>
      </c>
      <c r="V15" s="2" t="str">
        <f t="shared" si="0"/>
        <v>C170</v>
      </c>
      <c r="W15" s="2" t="s">
        <v>158</v>
      </c>
      <c r="X15" s="12">
        <v>50</v>
      </c>
      <c r="Y15" s="169"/>
      <c r="Z15" s="172"/>
      <c r="AA15" s="42">
        <v>170</v>
      </c>
      <c r="AB15" s="26">
        <v>10000</v>
      </c>
      <c r="AC15" s="43">
        <f>[2]B170!$G$36</f>
        <v>0.24627592147058819</v>
      </c>
      <c r="AD15" s="44">
        <f t="shared" si="7"/>
        <v>31.873000000000001</v>
      </c>
      <c r="AE15" s="45"/>
      <c r="AF15" s="45"/>
      <c r="AG15" s="46">
        <v>116.93</v>
      </c>
      <c r="AH15" s="19">
        <f t="shared" si="1"/>
        <v>58.465000000000003</v>
      </c>
      <c r="AI15" s="20">
        <f t="shared" si="2"/>
        <v>0.47645537748558242</v>
      </c>
      <c r="AJ15" s="47"/>
      <c r="AK15" s="48">
        <v>0</v>
      </c>
      <c r="AL15" s="23">
        <f t="shared" si="3"/>
        <v>0.9664409279626418</v>
      </c>
      <c r="AM15" s="23">
        <f t="shared" si="4"/>
        <v>96.644092796264175</v>
      </c>
      <c r="AN15" s="23">
        <f t="shared" si="5"/>
        <v>0.56053573821833225</v>
      </c>
      <c r="AO15" s="30">
        <v>190</v>
      </c>
      <c r="AP15" s="31">
        <v>34.116999999999997</v>
      </c>
    </row>
    <row r="16" spans="1:42" ht="15" thickBot="1" x14ac:dyDescent="0.35">
      <c r="A16" s="2">
        <v>160</v>
      </c>
      <c r="B16" s="2">
        <v>13</v>
      </c>
      <c r="C16" s="2">
        <v>23</v>
      </c>
      <c r="D16" s="2" t="s">
        <v>157</v>
      </c>
      <c r="E16" s="2">
        <v>160</v>
      </c>
      <c r="F16" s="2">
        <v>29</v>
      </c>
      <c r="G16" s="2">
        <v>141</v>
      </c>
      <c r="J16" s="2">
        <v>70</v>
      </c>
      <c r="K16" s="32">
        <f t="shared" si="6"/>
        <v>1.6923076923076923</v>
      </c>
      <c r="N16" s="2" t="s">
        <v>76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  <c r="U16" s="2" t="s">
        <v>125</v>
      </c>
      <c r="V16" s="2" t="str">
        <f t="shared" si="0"/>
        <v>C180</v>
      </c>
      <c r="W16" s="2" t="s">
        <v>159</v>
      </c>
      <c r="X16" s="12">
        <v>50</v>
      </c>
      <c r="Y16" s="169"/>
      <c r="Z16" s="172"/>
      <c r="AA16" s="42">
        <v>180</v>
      </c>
      <c r="AB16" s="26">
        <v>10000</v>
      </c>
      <c r="AC16" s="43">
        <f>[2]B180!$G$36</f>
        <v>0.25490581897058823</v>
      </c>
      <c r="AD16" s="44">
        <f t="shared" si="7"/>
        <v>32.994999999999997</v>
      </c>
      <c r="AE16" s="45"/>
      <c r="AF16" s="45"/>
      <c r="AG16" s="46">
        <v>121.05</v>
      </c>
      <c r="AH16" s="19">
        <f t="shared" si="1"/>
        <v>60.524999999999999</v>
      </c>
      <c r="AI16" s="20">
        <f t="shared" si="2"/>
        <v>0.49315112689734714</v>
      </c>
      <c r="AJ16" s="47"/>
      <c r="AK16" s="48">
        <v>0</v>
      </c>
      <c r="AL16" s="23">
        <f t="shared" si="3"/>
        <v>1.0003065454307245</v>
      </c>
      <c r="AM16" s="23">
        <f t="shared" si="4"/>
        <v>100.03065454307244</v>
      </c>
      <c r="AN16" s="23">
        <f t="shared" si="5"/>
        <v>0.58017779634982014</v>
      </c>
      <c r="AO16" s="30">
        <v>200</v>
      </c>
      <c r="AP16" s="31">
        <v>35.594000000000001</v>
      </c>
    </row>
    <row r="17" spans="1:42" ht="15" thickBot="1" x14ac:dyDescent="0.35">
      <c r="A17" s="2">
        <v>170</v>
      </c>
      <c r="B17" s="2">
        <v>13</v>
      </c>
      <c r="C17" s="2">
        <v>23</v>
      </c>
      <c r="D17" s="2" t="s">
        <v>158</v>
      </c>
      <c r="E17" s="2">
        <v>170</v>
      </c>
      <c r="F17" s="2">
        <v>29</v>
      </c>
      <c r="G17" s="2">
        <v>141</v>
      </c>
      <c r="J17" s="2">
        <v>75</v>
      </c>
      <c r="K17" s="32">
        <f t="shared" si="6"/>
        <v>1.7222222222222223</v>
      </c>
      <c r="U17" s="2" t="s">
        <v>125</v>
      </c>
      <c r="V17" s="2" t="str">
        <f t="shared" si="0"/>
        <v>C190</v>
      </c>
      <c r="W17" s="2" t="s">
        <v>160</v>
      </c>
      <c r="X17" s="12">
        <v>50</v>
      </c>
      <c r="Y17" s="169"/>
      <c r="Z17" s="172"/>
      <c r="AA17" s="42">
        <v>190</v>
      </c>
      <c r="AB17" s="26">
        <v>10000</v>
      </c>
      <c r="AC17" s="43">
        <f>[2]B190!$G$36</f>
        <v>0.2676357164705882</v>
      </c>
      <c r="AD17" s="44">
        <f t="shared" si="7"/>
        <v>34.116999999999997</v>
      </c>
      <c r="AE17" s="45"/>
      <c r="AF17" s="45"/>
      <c r="AG17" s="46">
        <v>125.17</v>
      </c>
      <c r="AH17" s="19">
        <f t="shared" si="1"/>
        <v>62.585000000000001</v>
      </c>
      <c r="AI17" s="20">
        <f t="shared" si="2"/>
        <v>0.51777890245290259</v>
      </c>
      <c r="AJ17" s="47"/>
      <c r="AK17" s="48">
        <v>0</v>
      </c>
      <c r="AL17" s="23">
        <f t="shared" si="3"/>
        <v>1.0502614654217091</v>
      </c>
      <c r="AM17" s="23">
        <f t="shared" si="4"/>
        <v>105.02614654217091</v>
      </c>
      <c r="AN17" s="23">
        <f t="shared" si="5"/>
        <v>0.60915164994459126</v>
      </c>
      <c r="AO17" s="30">
        <v>210</v>
      </c>
      <c r="AP17" s="31">
        <v>36.716000000000001</v>
      </c>
    </row>
    <row r="18" spans="1:42" ht="15" thickBot="1" x14ac:dyDescent="0.35">
      <c r="A18" s="2">
        <v>180</v>
      </c>
      <c r="B18" s="2">
        <v>10</v>
      </c>
      <c r="C18" s="2">
        <v>17</v>
      </c>
      <c r="D18" s="2" t="s">
        <v>159</v>
      </c>
      <c r="E18" s="2">
        <v>180</v>
      </c>
      <c r="F18" s="2">
        <v>29</v>
      </c>
      <c r="G18" s="2">
        <v>171</v>
      </c>
      <c r="J18" s="2">
        <v>80</v>
      </c>
      <c r="K18" s="32">
        <f t="shared" si="6"/>
        <v>1.75</v>
      </c>
      <c r="U18" s="2" t="s">
        <v>125</v>
      </c>
      <c r="V18" s="2" t="str">
        <f t="shared" si="0"/>
        <v>C200</v>
      </c>
      <c r="W18" s="2" t="s">
        <v>174</v>
      </c>
      <c r="X18" s="12">
        <v>50</v>
      </c>
      <c r="Y18" s="169"/>
      <c r="Z18" s="172"/>
      <c r="AA18" s="42">
        <v>200</v>
      </c>
      <c r="AB18" s="26">
        <v>10000</v>
      </c>
      <c r="AC18" s="43">
        <f>[2]B200!$G$36</f>
        <v>0.27899943749999995</v>
      </c>
      <c r="AD18" s="44">
        <f t="shared" si="7"/>
        <v>35.594000000000001</v>
      </c>
      <c r="AE18" s="45"/>
      <c r="AF18" s="45"/>
      <c r="AG18" s="46">
        <v>130.59</v>
      </c>
      <c r="AH18" s="19">
        <f t="shared" si="1"/>
        <v>65.295000000000002</v>
      </c>
      <c r="AI18" s="20">
        <f t="shared" si="2"/>
        <v>0.53976361764705871</v>
      </c>
      <c r="AJ18" s="47"/>
      <c r="AK18" s="48">
        <v>0</v>
      </c>
      <c r="AL18" s="23">
        <f t="shared" si="3"/>
        <v>1.0948552082090441</v>
      </c>
      <c r="AM18" s="23">
        <f t="shared" si="4"/>
        <v>109.48552082090441</v>
      </c>
      <c r="AN18" s="23">
        <f t="shared" si="5"/>
        <v>0.63501602076124553</v>
      </c>
      <c r="AO18" s="30">
        <v>220</v>
      </c>
      <c r="AP18" s="31">
        <v>37.838000000000001</v>
      </c>
    </row>
    <row r="19" spans="1:42" ht="15" thickBot="1" x14ac:dyDescent="0.35">
      <c r="A19" s="2">
        <v>190</v>
      </c>
      <c r="B19" s="2">
        <v>10</v>
      </c>
      <c r="C19" s="2">
        <v>17</v>
      </c>
      <c r="D19" s="2" t="s">
        <v>160</v>
      </c>
      <c r="E19" s="2">
        <v>190</v>
      </c>
      <c r="F19" s="2">
        <v>29</v>
      </c>
      <c r="G19" s="2">
        <v>171</v>
      </c>
      <c r="J19" s="2">
        <v>85</v>
      </c>
      <c r="K19" s="32">
        <f t="shared" si="6"/>
        <v>1.7758620689655173</v>
      </c>
      <c r="U19" s="2" t="s">
        <v>125</v>
      </c>
      <c r="V19" s="2" t="str">
        <f t="shared" si="0"/>
        <v>C210</v>
      </c>
      <c r="W19" s="2" t="s">
        <v>161</v>
      </c>
      <c r="X19" s="12">
        <v>50</v>
      </c>
      <c r="Y19" s="169"/>
      <c r="Z19" s="172"/>
      <c r="AA19" s="42">
        <v>210</v>
      </c>
      <c r="AB19" s="26">
        <v>10000</v>
      </c>
      <c r="AC19" s="43">
        <f>[2]B210!$G$36</f>
        <v>0.28762933499999999</v>
      </c>
      <c r="AD19" s="44">
        <f t="shared" si="7"/>
        <v>36.716000000000001</v>
      </c>
      <c r="AE19" s="45"/>
      <c r="AF19" s="45"/>
      <c r="AG19" s="46">
        <v>134.69999999999999</v>
      </c>
      <c r="AH19" s="19">
        <f t="shared" si="1"/>
        <v>67.349999999999994</v>
      </c>
      <c r="AI19" s="20">
        <f t="shared" si="2"/>
        <v>0.55645936705882348</v>
      </c>
      <c r="AJ19" s="47"/>
      <c r="AK19" s="48">
        <v>0</v>
      </c>
      <c r="AL19" s="23">
        <f t="shared" si="3"/>
        <v>1.1287208256771268</v>
      </c>
      <c r="AM19" s="23">
        <f t="shared" si="4"/>
        <v>112.87208256771268</v>
      </c>
      <c r="AN19" s="23">
        <f t="shared" si="5"/>
        <v>0.65465807889273353</v>
      </c>
      <c r="AO19" s="30">
        <v>240</v>
      </c>
      <c r="AP19" s="31">
        <v>40.081000000000003</v>
      </c>
    </row>
    <row r="20" spans="1:42" ht="15" thickBot="1" x14ac:dyDescent="0.35">
      <c r="A20" s="2">
        <v>200</v>
      </c>
      <c r="B20" s="2">
        <v>10</v>
      </c>
      <c r="C20" s="2">
        <v>17</v>
      </c>
      <c r="D20" s="2" t="s">
        <v>174</v>
      </c>
      <c r="E20" s="2">
        <v>200</v>
      </c>
      <c r="F20" s="2">
        <v>29</v>
      </c>
      <c r="G20" s="2">
        <v>171</v>
      </c>
      <c r="J20" s="2">
        <v>90</v>
      </c>
      <c r="K20" s="32">
        <f t="shared" si="6"/>
        <v>1.8</v>
      </c>
      <c r="U20" s="2" t="s">
        <v>125</v>
      </c>
      <c r="V20" s="2" t="str">
        <f t="shared" si="0"/>
        <v>C220</v>
      </c>
      <c r="W20" s="2" t="s">
        <v>176</v>
      </c>
      <c r="X20" s="12">
        <v>50</v>
      </c>
      <c r="Y20" s="169"/>
      <c r="Z20" s="172"/>
      <c r="AA20" s="42">
        <v>220</v>
      </c>
      <c r="AB20" s="26">
        <v>10000</v>
      </c>
      <c r="AC20" s="43">
        <f>[2]B220!$G$36</f>
        <v>0.29625923249999997</v>
      </c>
      <c r="AD20" s="44">
        <f t="shared" si="7"/>
        <v>37.838000000000001</v>
      </c>
      <c r="AE20" s="45"/>
      <c r="AF20" s="45"/>
      <c r="AG20" s="46">
        <v>138.82</v>
      </c>
      <c r="AH20" s="19">
        <f t="shared" si="1"/>
        <v>69.41</v>
      </c>
      <c r="AI20" s="20">
        <f t="shared" si="2"/>
        <v>0.57315511647058814</v>
      </c>
      <c r="AJ20" s="47"/>
      <c r="AK20" s="48">
        <v>0</v>
      </c>
      <c r="AL20" s="23">
        <f t="shared" si="3"/>
        <v>1.1625864431452093</v>
      </c>
      <c r="AM20" s="23">
        <f t="shared" si="4"/>
        <v>116.25864431452094</v>
      </c>
      <c r="AN20" s="23">
        <f t="shared" si="5"/>
        <v>0.67430013702422131</v>
      </c>
      <c r="AO20" s="30">
        <v>250</v>
      </c>
      <c r="AP20" s="31">
        <v>41.203000000000003</v>
      </c>
    </row>
    <row r="21" spans="1:42" ht="15" thickBot="1" x14ac:dyDescent="0.35">
      <c r="A21" s="2">
        <v>210</v>
      </c>
      <c r="B21" s="2">
        <v>7</v>
      </c>
      <c r="C21" s="2">
        <v>13</v>
      </c>
      <c r="D21" s="2" t="s">
        <v>161</v>
      </c>
      <c r="E21" s="2">
        <v>210</v>
      </c>
      <c r="F21" s="2">
        <v>29</v>
      </c>
      <c r="G21" s="2">
        <v>221</v>
      </c>
      <c r="J21" s="2">
        <v>95</v>
      </c>
      <c r="K21" s="32">
        <f t="shared" si="6"/>
        <v>1.8225806451612903</v>
      </c>
      <c r="U21" s="2" t="s">
        <v>125</v>
      </c>
      <c r="V21" s="2" t="str">
        <f t="shared" si="0"/>
        <v>C230</v>
      </c>
      <c r="W21" s="2" t="s">
        <v>162</v>
      </c>
      <c r="X21" s="12"/>
      <c r="Y21" s="169"/>
      <c r="Z21" s="172"/>
      <c r="AA21" s="42">
        <v>230</v>
      </c>
      <c r="AB21" s="26">
        <v>10000</v>
      </c>
      <c r="AC21" s="43">
        <f>[2]B230!$G$36</f>
        <v>0.30488912999999995</v>
      </c>
      <c r="AD21" s="50">
        <f>AC21*130</f>
        <v>39.635586899999993</v>
      </c>
      <c r="AE21" s="45"/>
      <c r="AF21" s="45"/>
      <c r="AG21" s="46"/>
      <c r="AH21" s="19">
        <f t="shared" si="1"/>
        <v>0</v>
      </c>
      <c r="AI21" s="20">
        <f t="shared" si="2"/>
        <v>0.58985086588235291</v>
      </c>
      <c r="AJ21" s="47"/>
      <c r="AK21" s="48">
        <v>0</v>
      </c>
      <c r="AL21" s="23">
        <f t="shared" si="3"/>
        <v>1.196452060613292</v>
      </c>
      <c r="AM21" s="23">
        <f t="shared" si="4"/>
        <v>119.6452060613292</v>
      </c>
      <c r="AN21" s="23">
        <f t="shared" si="5"/>
        <v>0.69394219515570932</v>
      </c>
      <c r="AO21" s="30">
        <v>280</v>
      </c>
      <c r="AP21" s="31">
        <v>44.569000000000003</v>
      </c>
    </row>
    <row r="22" spans="1:42" ht="15" thickBot="1" x14ac:dyDescent="0.35">
      <c r="A22" s="2">
        <v>220</v>
      </c>
      <c r="B22" s="2">
        <v>7</v>
      </c>
      <c r="C22" s="2">
        <v>13</v>
      </c>
      <c r="D22" s="2" t="s">
        <v>176</v>
      </c>
      <c r="E22" s="2">
        <v>220</v>
      </c>
      <c r="F22" s="2">
        <v>29</v>
      </c>
      <c r="G22" s="2">
        <v>221</v>
      </c>
      <c r="J22" s="2">
        <v>100</v>
      </c>
      <c r="K22" s="32">
        <f t="shared" si="6"/>
        <v>1.84375</v>
      </c>
      <c r="U22" s="2" t="s">
        <v>125</v>
      </c>
      <c r="V22" s="2" t="str">
        <f t="shared" si="0"/>
        <v>C240</v>
      </c>
      <c r="W22" s="2" t="s">
        <v>163</v>
      </c>
      <c r="X22" s="12">
        <v>40</v>
      </c>
      <c r="Y22" s="169"/>
      <c r="Z22" s="172"/>
      <c r="AA22" s="42">
        <v>240</v>
      </c>
      <c r="AB22" s="26">
        <v>10000</v>
      </c>
      <c r="AC22" s="43">
        <f>[2]B240!$G$36</f>
        <v>0.31381902749999996</v>
      </c>
      <c r="AD22" s="44">
        <f>AP19</f>
        <v>40.081000000000003</v>
      </c>
      <c r="AE22" s="45"/>
      <c r="AF22" s="45"/>
      <c r="AG22" s="46">
        <v>147.05000000000001</v>
      </c>
      <c r="AH22" s="19">
        <f t="shared" si="1"/>
        <v>58.820000000000007</v>
      </c>
      <c r="AI22" s="20">
        <f t="shared" si="2"/>
        <v>0.60712700745098036</v>
      </c>
      <c r="AJ22" s="47"/>
      <c r="AK22" s="48">
        <v>0</v>
      </c>
      <c r="AL22" s="23">
        <f t="shared" si="3"/>
        <v>1.2314949441196357</v>
      </c>
      <c r="AM22" s="23">
        <f t="shared" si="4"/>
        <v>123.14949441196357</v>
      </c>
      <c r="AN22" s="23">
        <f t="shared" si="5"/>
        <v>0.71426706758938863</v>
      </c>
      <c r="AO22" s="51">
        <v>300</v>
      </c>
      <c r="AP22" s="52">
        <v>46.813000000000002</v>
      </c>
    </row>
    <row r="23" spans="1:42" ht="15" thickBot="1" x14ac:dyDescent="0.35">
      <c r="A23" s="2">
        <v>230</v>
      </c>
      <c r="B23" s="2">
        <v>7</v>
      </c>
      <c r="C23" s="2">
        <v>13</v>
      </c>
      <c r="D23" s="2" t="s">
        <v>163</v>
      </c>
      <c r="E23" s="2">
        <v>240</v>
      </c>
      <c r="F23" s="2">
        <v>29</v>
      </c>
      <c r="G23" s="2">
        <v>221</v>
      </c>
      <c r="J23" s="2">
        <v>105</v>
      </c>
      <c r="K23" s="32">
        <f t="shared" si="6"/>
        <v>1.8636363636363635</v>
      </c>
      <c r="U23" s="2" t="s">
        <v>125</v>
      </c>
      <c r="V23" s="2" t="str">
        <f t="shared" si="0"/>
        <v>C250</v>
      </c>
      <c r="W23" s="2" t="s">
        <v>164</v>
      </c>
      <c r="X23" s="12">
        <v>40</v>
      </c>
      <c r="Y23" s="169"/>
      <c r="Z23" s="172"/>
      <c r="AA23" s="42">
        <v>250</v>
      </c>
      <c r="AB23" s="26">
        <v>10000</v>
      </c>
      <c r="AC23" s="43">
        <f>[2]B250!$G$36</f>
        <v>0.32244892499999994</v>
      </c>
      <c r="AD23" s="44">
        <f>AP20</f>
        <v>41.203000000000003</v>
      </c>
      <c r="AE23" s="45"/>
      <c r="AF23" s="45"/>
      <c r="AG23" s="46">
        <v>151.16999999999999</v>
      </c>
      <c r="AH23" s="19">
        <f t="shared" si="1"/>
        <v>60.467999999999996</v>
      </c>
      <c r="AI23" s="20">
        <f t="shared" si="2"/>
        <v>0.62382275686274502</v>
      </c>
      <c r="AJ23" s="47"/>
      <c r="AK23" s="48">
        <v>0</v>
      </c>
      <c r="AL23" s="23">
        <f t="shared" si="3"/>
        <v>1.2653605615877181</v>
      </c>
      <c r="AM23" s="23">
        <f t="shared" si="4"/>
        <v>126.53605615877181</v>
      </c>
      <c r="AN23" s="23">
        <f t="shared" si="5"/>
        <v>0.73390912572087652</v>
      </c>
      <c r="AO23" s="53">
        <v>310</v>
      </c>
      <c r="AP23" s="54">
        <v>48.337000000000003</v>
      </c>
    </row>
    <row r="24" spans="1:42" ht="15" thickBot="1" x14ac:dyDescent="0.35">
      <c r="A24" s="2">
        <v>240</v>
      </c>
      <c r="B24" s="2">
        <v>7</v>
      </c>
      <c r="C24" s="2">
        <v>13</v>
      </c>
      <c r="D24" s="2" t="s">
        <v>163</v>
      </c>
      <c r="E24" s="2">
        <v>240</v>
      </c>
      <c r="F24" s="2">
        <v>29</v>
      </c>
      <c r="G24" s="2">
        <v>221</v>
      </c>
      <c r="J24" s="2">
        <v>110</v>
      </c>
      <c r="K24" s="32">
        <f t="shared" si="6"/>
        <v>1.8823529411764706</v>
      </c>
      <c r="U24" s="2" t="s">
        <v>125</v>
      </c>
      <c r="V24" s="2" t="str">
        <f t="shared" si="0"/>
        <v>C260</v>
      </c>
      <c r="W24" s="2" t="s">
        <v>165</v>
      </c>
      <c r="X24" s="12"/>
      <c r="Y24" s="169"/>
      <c r="Z24" s="172"/>
      <c r="AA24" s="42">
        <v>260</v>
      </c>
      <c r="AB24" s="26">
        <v>10000</v>
      </c>
      <c r="AC24" s="43">
        <f>[2]B260!$G$36</f>
        <v>0.33107882249999993</v>
      </c>
      <c r="AD24" s="50">
        <f>AC24*130</f>
        <v>43.040246924999991</v>
      </c>
      <c r="AE24" s="45"/>
      <c r="AF24" s="45"/>
      <c r="AG24" s="46"/>
      <c r="AH24" s="19">
        <f t="shared" si="1"/>
        <v>0</v>
      </c>
      <c r="AI24" s="20">
        <f t="shared" si="2"/>
        <v>0.64051850627450968</v>
      </c>
      <c r="AJ24" s="47"/>
      <c r="AK24" s="48">
        <v>0</v>
      </c>
      <c r="AL24" s="23">
        <f t="shared" si="3"/>
        <v>1.2992261790558006</v>
      </c>
      <c r="AM24" s="23">
        <f t="shared" si="4"/>
        <v>129.92261790558007</v>
      </c>
      <c r="AN24" s="23">
        <f t="shared" si="5"/>
        <v>0.7535511838523643</v>
      </c>
      <c r="AO24" s="53">
        <v>320</v>
      </c>
      <c r="AP24" s="54">
        <v>49.459000000000003</v>
      </c>
    </row>
    <row r="25" spans="1:42" ht="15" thickBot="1" x14ac:dyDescent="0.35">
      <c r="A25" s="2">
        <v>250</v>
      </c>
      <c r="B25" s="2">
        <v>7</v>
      </c>
      <c r="C25" s="2">
        <v>13</v>
      </c>
      <c r="D25" s="2" t="s">
        <v>164</v>
      </c>
      <c r="E25" s="2">
        <v>250</v>
      </c>
      <c r="F25" s="2">
        <v>29</v>
      </c>
      <c r="G25" s="2">
        <v>221</v>
      </c>
      <c r="J25" s="2">
        <v>115</v>
      </c>
      <c r="K25" s="32">
        <f t="shared" si="6"/>
        <v>1.9</v>
      </c>
      <c r="U25" s="2" t="s">
        <v>125</v>
      </c>
      <c r="V25" s="2" t="str">
        <f t="shared" si="0"/>
        <v>C270</v>
      </c>
      <c r="W25" s="2" t="s">
        <v>166</v>
      </c>
      <c r="X25" s="12"/>
      <c r="Y25" s="169"/>
      <c r="Z25" s="172"/>
      <c r="AA25" s="42">
        <v>270</v>
      </c>
      <c r="AB25" s="26">
        <v>10000</v>
      </c>
      <c r="AC25" s="43">
        <f>[2]B270!$G$36</f>
        <v>0.33970871999999991</v>
      </c>
      <c r="AD25" s="50">
        <f>AC25*130</f>
        <v>44.16213359999999</v>
      </c>
      <c r="AE25" s="45"/>
      <c r="AF25" s="45"/>
      <c r="AG25" s="46"/>
      <c r="AH25" s="19">
        <f t="shared" si="1"/>
        <v>0</v>
      </c>
      <c r="AI25" s="20">
        <f t="shared" si="2"/>
        <v>0.65721425568627445</v>
      </c>
      <c r="AJ25" s="47"/>
      <c r="AK25" s="48">
        <v>0</v>
      </c>
      <c r="AL25" s="23">
        <f t="shared" si="3"/>
        <v>1.3330917965238833</v>
      </c>
      <c r="AM25" s="23">
        <f t="shared" si="4"/>
        <v>133.30917965238834</v>
      </c>
      <c r="AN25" s="23">
        <f t="shared" si="5"/>
        <v>0.77319324198385231</v>
      </c>
      <c r="AO25" s="53">
        <v>330</v>
      </c>
      <c r="AP25" s="54">
        <v>50.581000000000003</v>
      </c>
    </row>
    <row r="26" spans="1:42" ht="15" thickBot="1" x14ac:dyDescent="0.35">
      <c r="A26" s="2">
        <v>260</v>
      </c>
      <c r="B26" s="2">
        <v>7</v>
      </c>
      <c r="C26" s="2">
        <v>10</v>
      </c>
      <c r="D26" s="2" t="s">
        <v>167</v>
      </c>
      <c r="E26" s="2">
        <v>280</v>
      </c>
      <c r="F26" s="2">
        <v>29</v>
      </c>
      <c r="G26" s="2">
        <v>271</v>
      </c>
      <c r="J26" s="2">
        <v>120</v>
      </c>
      <c r="K26" s="32">
        <f t="shared" si="6"/>
        <v>1.9166666666666667</v>
      </c>
      <c r="U26" s="2" t="s">
        <v>125</v>
      </c>
      <c r="V26" s="2" t="str">
        <f t="shared" si="0"/>
        <v>C280</v>
      </c>
      <c r="W26" s="2" t="s">
        <v>167</v>
      </c>
      <c r="X26" s="12">
        <v>40</v>
      </c>
      <c r="Y26" s="169"/>
      <c r="Z26" s="172"/>
      <c r="AA26" s="42">
        <v>280</v>
      </c>
      <c r="AB26" s="26">
        <v>10000</v>
      </c>
      <c r="AC26" s="43">
        <f>[2]B280!$G$36</f>
        <v>0.34833861749999995</v>
      </c>
      <c r="AD26" s="44">
        <f>AP21</f>
        <v>44.569000000000003</v>
      </c>
      <c r="AE26" s="45"/>
      <c r="AF26" s="45"/>
      <c r="AG26" s="46">
        <v>163.52000000000001</v>
      </c>
      <c r="AH26" s="19">
        <f t="shared" si="1"/>
        <v>65.408000000000001</v>
      </c>
      <c r="AI26" s="20">
        <f t="shared" si="2"/>
        <v>0.673910005098039</v>
      </c>
      <c r="AJ26" s="47"/>
      <c r="AK26" s="48">
        <v>0</v>
      </c>
      <c r="AL26" s="23">
        <f t="shared" si="3"/>
        <v>1.3669574139919656</v>
      </c>
      <c r="AM26" s="23">
        <f t="shared" si="4"/>
        <v>136.69574139919655</v>
      </c>
      <c r="AN26" s="23">
        <f t="shared" si="5"/>
        <v>0.79283530011533998</v>
      </c>
      <c r="AO26" s="53">
        <v>340</v>
      </c>
      <c r="AP26" s="54">
        <v>51.703000000000003</v>
      </c>
    </row>
    <row r="27" spans="1:42" ht="15" thickBot="1" x14ac:dyDescent="0.35">
      <c r="A27" s="2">
        <v>270</v>
      </c>
      <c r="B27" s="2">
        <v>7</v>
      </c>
      <c r="C27" s="2">
        <v>10</v>
      </c>
      <c r="D27" s="2" t="s">
        <v>167</v>
      </c>
      <c r="E27" s="2">
        <v>280</v>
      </c>
      <c r="F27" s="2">
        <v>29</v>
      </c>
      <c r="G27" s="2">
        <v>271</v>
      </c>
      <c r="J27" s="2">
        <v>125</v>
      </c>
      <c r="K27" s="32">
        <f t="shared" si="6"/>
        <v>1.9324324324324325</v>
      </c>
      <c r="U27" s="2" t="s">
        <v>125</v>
      </c>
      <c r="V27" s="2" t="str">
        <f t="shared" si="0"/>
        <v>C290</v>
      </c>
      <c r="W27" s="2" t="s">
        <v>168</v>
      </c>
      <c r="X27" s="12"/>
      <c r="Y27" s="169"/>
      <c r="Z27" s="172"/>
      <c r="AA27" s="42">
        <v>290</v>
      </c>
      <c r="AB27" s="26">
        <v>10000</v>
      </c>
      <c r="AC27" s="43">
        <f>[2]B290!$G$36</f>
        <v>0.35696851499999993</v>
      </c>
      <c r="AD27" s="50">
        <f>AC27*130</f>
        <v>46.405906949999988</v>
      </c>
      <c r="AE27" s="45"/>
      <c r="AF27" s="45"/>
      <c r="AG27" s="46"/>
      <c r="AH27" s="19">
        <f t="shared" si="1"/>
        <v>0</v>
      </c>
      <c r="AI27" s="20">
        <f t="shared" si="2"/>
        <v>0.69060575450980377</v>
      </c>
      <c r="AJ27" s="47"/>
      <c r="AK27" s="48">
        <v>0</v>
      </c>
      <c r="AL27" s="23">
        <f t="shared" si="3"/>
        <v>1.4008230314600483</v>
      </c>
      <c r="AM27" s="23">
        <f t="shared" si="4"/>
        <v>140.08230314600482</v>
      </c>
      <c r="AN27" s="23">
        <f t="shared" si="5"/>
        <v>0.81247735824682799</v>
      </c>
      <c r="AO27" s="53">
        <v>350</v>
      </c>
      <c r="AP27" s="54">
        <v>52.825000000000003</v>
      </c>
    </row>
    <row r="28" spans="1:42" ht="15" thickBot="1" x14ac:dyDescent="0.35">
      <c r="A28" s="2">
        <v>280</v>
      </c>
      <c r="B28" s="2">
        <v>7</v>
      </c>
      <c r="C28" s="2">
        <v>10</v>
      </c>
      <c r="D28" s="2" t="s">
        <v>167</v>
      </c>
      <c r="E28" s="2">
        <v>280</v>
      </c>
      <c r="F28" s="2">
        <v>29</v>
      </c>
      <c r="G28" s="2">
        <v>271</v>
      </c>
      <c r="J28" s="2">
        <v>130</v>
      </c>
      <c r="K28" s="32">
        <f t="shared" si="6"/>
        <v>1.9473684210526316</v>
      </c>
      <c r="U28" s="2" t="s">
        <v>125</v>
      </c>
      <c r="V28" s="2" t="str">
        <f t="shared" si="0"/>
        <v>C300</v>
      </c>
      <c r="W28" s="2" t="s">
        <v>169</v>
      </c>
      <c r="X28" s="12">
        <v>25</v>
      </c>
      <c r="Y28" s="169"/>
      <c r="Z28" s="172"/>
      <c r="AA28" s="42">
        <v>300</v>
      </c>
      <c r="AB28" s="26">
        <v>10000</v>
      </c>
      <c r="AC28" s="43">
        <f>[2]B300!$G$36</f>
        <v>0.37579841249999996</v>
      </c>
      <c r="AD28" s="44">
        <f t="shared" ref="AD28:AD33" si="8">AP22</f>
        <v>46.813000000000002</v>
      </c>
      <c r="AE28" s="45"/>
      <c r="AF28" s="45"/>
      <c r="AG28" s="46">
        <v>171.75</v>
      </c>
      <c r="AH28" s="19">
        <f t="shared" si="1"/>
        <v>42.9375</v>
      </c>
      <c r="AI28" s="20">
        <f t="shared" si="2"/>
        <v>0.72703483725490181</v>
      </c>
      <c r="AJ28" s="47"/>
      <c r="AK28" s="48">
        <v>0</v>
      </c>
      <c r="AL28" s="23">
        <f t="shared" si="3"/>
        <v>1.4747156942290098</v>
      </c>
      <c r="AM28" s="23">
        <f t="shared" si="4"/>
        <v>147.47156942290098</v>
      </c>
      <c r="AN28" s="23">
        <f t="shared" si="5"/>
        <v>0.85533510265282564</v>
      </c>
      <c r="AO28" s="55" t="s">
        <v>127</v>
      </c>
      <c r="AP28" s="56"/>
    </row>
    <row r="29" spans="1:42" ht="15" thickBot="1" x14ac:dyDescent="0.35">
      <c r="A29" s="2">
        <v>290</v>
      </c>
      <c r="B29" s="2">
        <v>7</v>
      </c>
      <c r="C29" s="2">
        <v>10</v>
      </c>
      <c r="D29" s="2" t="s">
        <v>169</v>
      </c>
      <c r="E29" s="2">
        <v>300</v>
      </c>
      <c r="F29" s="2">
        <v>29</v>
      </c>
      <c r="G29" s="2">
        <v>271</v>
      </c>
      <c r="J29" s="2">
        <v>135</v>
      </c>
      <c r="K29" s="32">
        <f t="shared" si="6"/>
        <v>1.9615384615384615</v>
      </c>
      <c r="U29" s="2" t="s">
        <v>125</v>
      </c>
      <c r="V29" s="2" t="str">
        <f t="shared" si="0"/>
        <v>C310</v>
      </c>
      <c r="W29" s="2" t="s">
        <v>170</v>
      </c>
      <c r="X29" s="12">
        <v>25</v>
      </c>
      <c r="Y29" s="57"/>
      <c r="Z29" s="58"/>
      <c r="AA29" s="42">
        <v>310</v>
      </c>
      <c r="AB29" s="26">
        <v>10000</v>
      </c>
      <c r="AC29" s="43">
        <f>[2]B310!$G$36</f>
        <v>0.38752664333333325</v>
      </c>
      <c r="AD29" s="44">
        <f t="shared" si="8"/>
        <v>48.337000000000003</v>
      </c>
      <c r="AE29" s="45"/>
      <c r="AF29" s="45"/>
      <c r="AG29" s="46">
        <v>177.34</v>
      </c>
      <c r="AH29" s="19">
        <f t="shared" si="1"/>
        <v>44.335000000000001</v>
      </c>
      <c r="AI29" s="20">
        <f t="shared" si="2"/>
        <v>0.74972474788671006</v>
      </c>
      <c r="AJ29" s="47"/>
      <c r="AK29" s="48">
        <v>0</v>
      </c>
      <c r="AL29" s="23">
        <f t="shared" si="3"/>
        <v>1.5207398537255783</v>
      </c>
      <c r="AM29" s="23">
        <f t="shared" si="4"/>
        <v>152.07398537255784</v>
      </c>
      <c r="AN29" s="23">
        <f t="shared" si="5"/>
        <v>0.88202911516083538</v>
      </c>
    </row>
    <row r="30" spans="1:42" ht="15" thickBot="1" x14ac:dyDescent="0.35">
      <c r="A30" s="2">
        <v>300</v>
      </c>
      <c r="B30" s="2">
        <v>7</v>
      </c>
      <c r="C30" s="2">
        <v>10</v>
      </c>
      <c r="D30" s="2" t="s">
        <v>169</v>
      </c>
      <c r="E30" s="2">
        <v>300</v>
      </c>
      <c r="F30" s="2">
        <v>29</v>
      </c>
      <c r="G30" s="2">
        <v>271</v>
      </c>
      <c r="J30" s="2">
        <v>140</v>
      </c>
      <c r="K30" s="32">
        <f t="shared" si="6"/>
        <v>1.9750000000000001</v>
      </c>
      <c r="U30" s="2" t="s">
        <v>125</v>
      </c>
      <c r="V30" s="2" t="str">
        <f t="shared" si="0"/>
        <v>C320</v>
      </c>
      <c r="W30" s="2" t="s">
        <v>177</v>
      </c>
      <c r="X30" s="12">
        <v>25</v>
      </c>
      <c r="Y30" s="57"/>
      <c r="Z30" s="58"/>
      <c r="AA30" s="42">
        <v>320</v>
      </c>
      <c r="AB30" s="26">
        <v>10000</v>
      </c>
      <c r="AC30" s="43">
        <f>[2]B320!$G$36</f>
        <v>0.39615654083333329</v>
      </c>
      <c r="AD30" s="44">
        <f t="shared" si="8"/>
        <v>49.459000000000003</v>
      </c>
      <c r="AE30" s="45"/>
      <c r="AF30" s="45"/>
      <c r="AG30" s="46">
        <v>181.46</v>
      </c>
      <c r="AH30" s="19">
        <f t="shared" si="1"/>
        <v>45.365000000000002</v>
      </c>
      <c r="AI30" s="20">
        <f t="shared" si="2"/>
        <v>0.76642049729847483</v>
      </c>
      <c r="AJ30" s="47"/>
      <c r="AK30" s="48">
        <v>0</v>
      </c>
      <c r="AL30" s="23">
        <f t="shared" si="3"/>
        <v>1.554605471193661</v>
      </c>
      <c r="AM30" s="23">
        <f t="shared" si="4"/>
        <v>155.46054711936611</v>
      </c>
      <c r="AN30" s="23">
        <f t="shared" si="5"/>
        <v>0.90167117329232327</v>
      </c>
    </row>
    <row r="31" spans="1:42" ht="15" thickBot="1" x14ac:dyDescent="0.35">
      <c r="A31" s="2">
        <v>310</v>
      </c>
      <c r="B31" s="2">
        <v>7</v>
      </c>
      <c r="C31" s="2">
        <v>7</v>
      </c>
      <c r="D31" s="2" t="s">
        <v>170</v>
      </c>
      <c r="E31" s="2">
        <v>310</v>
      </c>
      <c r="F31" s="2">
        <v>29</v>
      </c>
      <c r="G31" s="2">
        <v>321</v>
      </c>
      <c r="J31" s="2">
        <v>145</v>
      </c>
      <c r="K31" s="32">
        <f t="shared" si="6"/>
        <v>1.9878048780487805</v>
      </c>
      <c r="U31" s="2" t="s">
        <v>125</v>
      </c>
      <c r="V31" s="2" t="str">
        <f t="shared" si="0"/>
        <v>C330</v>
      </c>
      <c r="W31" s="2" t="s">
        <v>171</v>
      </c>
      <c r="X31" s="12">
        <v>25</v>
      </c>
      <c r="Y31" s="57"/>
      <c r="Z31" s="58"/>
      <c r="AA31" s="42">
        <v>330</v>
      </c>
      <c r="AB31" s="26">
        <v>10000</v>
      </c>
      <c r="AC31" s="43">
        <f>[2]B330!$G$36</f>
        <v>0.40478643833333333</v>
      </c>
      <c r="AD31" s="44">
        <f t="shared" si="8"/>
        <v>50.581000000000003</v>
      </c>
      <c r="AE31" s="45"/>
      <c r="AF31" s="45"/>
      <c r="AG31" s="46">
        <v>185.57</v>
      </c>
      <c r="AH31" s="19">
        <f t="shared" si="1"/>
        <v>46.392499999999998</v>
      </c>
      <c r="AI31" s="20">
        <f t="shared" si="2"/>
        <v>0.78311624671023961</v>
      </c>
      <c r="AJ31" s="47"/>
      <c r="AK31" s="48">
        <v>0</v>
      </c>
      <c r="AL31" s="23">
        <f t="shared" si="3"/>
        <v>1.5884710886617437</v>
      </c>
      <c r="AM31" s="23">
        <f t="shared" si="4"/>
        <v>158.84710886617438</v>
      </c>
      <c r="AN31" s="23">
        <f t="shared" si="5"/>
        <v>0.92131323142381127</v>
      </c>
    </row>
    <row r="32" spans="1:42" ht="15" thickBot="1" x14ac:dyDescent="0.35">
      <c r="A32" s="2">
        <v>320</v>
      </c>
      <c r="B32" s="2">
        <v>7</v>
      </c>
      <c r="C32" s="2">
        <v>7</v>
      </c>
      <c r="D32" s="2" t="s">
        <v>177</v>
      </c>
      <c r="E32" s="2">
        <v>320</v>
      </c>
      <c r="F32" s="2">
        <v>29</v>
      </c>
      <c r="G32" s="2">
        <v>321</v>
      </c>
      <c r="U32" s="2" t="s">
        <v>125</v>
      </c>
      <c r="V32" s="2" t="str">
        <f t="shared" si="0"/>
        <v>C340</v>
      </c>
      <c r="W32" s="2" t="s">
        <v>172</v>
      </c>
      <c r="X32" s="12">
        <v>25</v>
      </c>
      <c r="Y32" s="57"/>
      <c r="Z32" s="58"/>
      <c r="AA32" s="42">
        <v>340</v>
      </c>
      <c r="AB32" s="26">
        <v>10000</v>
      </c>
      <c r="AC32" s="43">
        <f>[2]B340!$G$36</f>
        <v>0.41341633583333326</v>
      </c>
      <c r="AD32" s="44">
        <f t="shared" si="8"/>
        <v>51.703000000000003</v>
      </c>
      <c r="AE32" s="45"/>
      <c r="AF32" s="45"/>
      <c r="AG32" s="46">
        <v>189.69</v>
      </c>
      <c r="AH32" s="19">
        <f t="shared" si="1"/>
        <v>47.422499999999999</v>
      </c>
      <c r="AI32" s="20">
        <f t="shared" si="2"/>
        <v>0.79981199612200415</v>
      </c>
      <c r="AJ32" s="47"/>
      <c r="AK32" s="48">
        <v>0</v>
      </c>
      <c r="AL32" s="23">
        <f t="shared" si="3"/>
        <v>1.6223367061298259</v>
      </c>
      <c r="AM32" s="23">
        <f t="shared" si="4"/>
        <v>162.23367061298259</v>
      </c>
      <c r="AN32" s="23">
        <f t="shared" si="5"/>
        <v>0.94095528955529895</v>
      </c>
    </row>
    <row r="33" spans="1:40" ht="15" thickBot="1" x14ac:dyDescent="0.35">
      <c r="A33" s="2">
        <v>330</v>
      </c>
      <c r="B33" s="2">
        <v>7</v>
      </c>
      <c r="C33" s="2">
        <v>7</v>
      </c>
      <c r="D33" s="2" t="s">
        <v>171</v>
      </c>
      <c r="E33" s="2">
        <v>330</v>
      </c>
      <c r="F33" s="2">
        <v>29</v>
      </c>
      <c r="G33" s="2">
        <v>321</v>
      </c>
      <c r="U33" s="2" t="s">
        <v>125</v>
      </c>
      <c r="V33" s="2" t="str">
        <f t="shared" si="0"/>
        <v>C350</v>
      </c>
      <c r="W33" s="2" t="s">
        <v>173</v>
      </c>
      <c r="X33" s="12">
        <v>25</v>
      </c>
      <c r="Y33" s="59"/>
      <c r="Z33" s="60"/>
      <c r="AA33" s="42">
        <v>350</v>
      </c>
      <c r="AB33" s="26">
        <v>10000</v>
      </c>
      <c r="AC33" s="61">
        <f>[2]B350!$G$36</f>
        <v>0.4220462333333333</v>
      </c>
      <c r="AD33" s="62">
        <f t="shared" si="8"/>
        <v>52.825000000000003</v>
      </c>
      <c r="AE33" s="63"/>
      <c r="AF33" s="63"/>
      <c r="AG33" s="46">
        <v>193.81</v>
      </c>
      <c r="AH33" s="19">
        <f t="shared" si="1"/>
        <v>48.452500000000001</v>
      </c>
      <c r="AI33" s="20">
        <f t="shared" si="2"/>
        <v>0.81650774553376904</v>
      </c>
      <c r="AJ33" s="64"/>
      <c r="AK33" s="48">
        <v>0</v>
      </c>
      <c r="AL33" s="23">
        <f t="shared" si="3"/>
        <v>1.6562023235979089</v>
      </c>
      <c r="AM33" s="23">
        <f t="shared" si="4"/>
        <v>165.62023235979089</v>
      </c>
      <c r="AN33" s="23">
        <f t="shared" si="5"/>
        <v>0.96059734768678706</v>
      </c>
    </row>
    <row r="34" spans="1:40" x14ac:dyDescent="0.3">
      <c r="A34" s="2">
        <v>340</v>
      </c>
      <c r="B34" s="2">
        <v>7</v>
      </c>
      <c r="C34" s="2">
        <v>7</v>
      </c>
      <c r="D34" s="2" t="s">
        <v>172</v>
      </c>
      <c r="E34" s="2">
        <v>340</v>
      </c>
      <c r="F34" s="2">
        <v>29</v>
      </c>
      <c r="G34" s="2">
        <v>321</v>
      </c>
      <c r="AC34" s="65"/>
      <c r="AD34" s="66"/>
      <c r="AE34" s="2">
        <f>SUM(AE2:AE33)</f>
        <v>25.035000000000004</v>
      </c>
      <c r="AJ34" s="2">
        <f>SUM(AJ2:AJ33)</f>
        <v>0</v>
      </c>
      <c r="AK34" s="2">
        <f>SUM(AK2:AK33)</f>
        <v>0</v>
      </c>
    </row>
    <row r="35" spans="1:40" x14ac:dyDescent="0.3">
      <c r="A35" s="2">
        <v>350</v>
      </c>
      <c r="B35" s="2">
        <v>7</v>
      </c>
      <c r="C35" s="2">
        <v>7</v>
      </c>
      <c r="D35" s="2" t="s">
        <v>173</v>
      </c>
      <c r="E35" s="2">
        <v>350</v>
      </c>
      <c r="F35" s="2">
        <v>29</v>
      </c>
      <c r="G35" s="2">
        <v>321</v>
      </c>
    </row>
  </sheetData>
  <mergeCells count="5">
    <mergeCell ref="Y1:Z1"/>
    <mergeCell ref="AO1:AO2"/>
    <mergeCell ref="Y2:Y28"/>
    <mergeCell ref="Z2:Z4"/>
    <mergeCell ref="Z6:Z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workbookViewId="0">
      <selection activeCell="W17" sqref="W17"/>
    </sheetView>
  </sheetViews>
  <sheetFormatPr baseColWidth="10" defaultRowHeight="14.4" x14ac:dyDescent="0.3"/>
  <cols>
    <col min="1" max="1" width="13.109375" style="2" customWidth="1"/>
    <col min="2" max="6" width="11.5546875" style="2"/>
    <col min="7" max="7" width="21.44140625" style="2" customWidth="1"/>
    <col min="8" max="16384" width="11.5546875" style="2"/>
  </cols>
  <sheetData>
    <row r="1" spans="1:7" x14ac:dyDescent="0.3">
      <c r="A1" s="2" t="s">
        <v>29</v>
      </c>
      <c r="B1" s="2" t="s">
        <v>30</v>
      </c>
      <c r="C1" s="2" t="s">
        <v>31</v>
      </c>
      <c r="D1" s="2" t="s">
        <v>32</v>
      </c>
      <c r="E1" s="2" t="s">
        <v>86</v>
      </c>
      <c r="F1" s="2" t="s">
        <v>87</v>
      </c>
      <c r="G1" s="2" t="s">
        <v>67</v>
      </c>
    </row>
    <row r="2" spans="1:7" x14ac:dyDescent="0.3">
      <c r="A2" s="2" t="s">
        <v>132</v>
      </c>
      <c r="B2" s="2">
        <v>1</v>
      </c>
      <c r="C2" s="2">
        <v>0</v>
      </c>
      <c r="D2" s="2">
        <v>60</v>
      </c>
      <c r="E2" s="2" t="s">
        <v>212</v>
      </c>
      <c r="F2" s="3" t="s">
        <v>214</v>
      </c>
      <c r="G2" s="2">
        <v>10</v>
      </c>
    </row>
    <row r="3" spans="1:7" x14ac:dyDescent="0.3">
      <c r="A3" s="2" t="s">
        <v>133</v>
      </c>
      <c r="B3" s="2">
        <v>3</v>
      </c>
      <c r="C3" s="2">
        <v>1</v>
      </c>
      <c r="D3" s="2">
        <v>50</v>
      </c>
      <c r="E3" s="2" t="s">
        <v>211</v>
      </c>
      <c r="F3" s="3" t="s">
        <v>215</v>
      </c>
      <c r="G3" s="2">
        <v>15</v>
      </c>
    </row>
    <row r="4" spans="1:7" x14ac:dyDescent="0.3">
      <c r="C4" s="2">
        <v>2</v>
      </c>
      <c r="D4" s="2">
        <v>40</v>
      </c>
      <c r="E4" s="2" t="s">
        <v>213</v>
      </c>
      <c r="F4" s="3" t="s">
        <v>216</v>
      </c>
      <c r="G4" s="2">
        <v>20</v>
      </c>
    </row>
    <row r="5" spans="1:7" x14ac:dyDescent="0.3">
      <c r="F5" s="3" t="s">
        <v>217</v>
      </c>
      <c r="G5" s="2">
        <v>25</v>
      </c>
    </row>
    <row r="6" spans="1:7" x14ac:dyDescent="0.3">
      <c r="F6" s="3" t="s">
        <v>218</v>
      </c>
      <c r="G6" s="2">
        <v>30</v>
      </c>
    </row>
    <row r="7" spans="1:7" x14ac:dyDescent="0.3">
      <c r="G7" s="2">
        <v>35</v>
      </c>
    </row>
    <row r="8" spans="1:7" x14ac:dyDescent="0.3">
      <c r="G8" s="2">
        <v>40</v>
      </c>
    </row>
    <row r="9" spans="1:7" x14ac:dyDescent="0.3">
      <c r="G9" s="2">
        <v>45</v>
      </c>
    </row>
    <row r="10" spans="1:7" x14ac:dyDescent="0.3">
      <c r="G10" s="2">
        <v>50</v>
      </c>
    </row>
    <row r="11" spans="1:7" x14ac:dyDescent="0.3">
      <c r="G11" s="2">
        <v>55</v>
      </c>
    </row>
    <row r="12" spans="1:7" x14ac:dyDescent="0.3">
      <c r="G12" s="2">
        <v>60</v>
      </c>
    </row>
    <row r="13" spans="1:7" x14ac:dyDescent="0.3">
      <c r="G13" s="2">
        <v>65</v>
      </c>
    </row>
    <row r="14" spans="1:7" x14ac:dyDescent="0.3">
      <c r="G14" s="2">
        <v>70</v>
      </c>
    </row>
    <row r="15" spans="1:7" x14ac:dyDescent="0.3">
      <c r="G15" s="2">
        <v>75</v>
      </c>
    </row>
    <row r="16" spans="1:7" x14ac:dyDescent="0.3">
      <c r="G16" s="2">
        <v>80</v>
      </c>
    </row>
    <row r="17" spans="7:7" x14ac:dyDescent="0.3">
      <c r="G17" s="2">
        <v>85</v>
      </c>
    </row>
    <row r="18" spans="7:7" x14ac:dyDescent="0.3">
      <c r="G18" s="2">
        <v>90</v>
      </c>
    </row>
    <row r="19" spans="7:7" x14ac:dyDescent="0.3">
      <c r="G19" s="2">
        <v>95</v>
      </c>
    </row>
    <row r="20" spans="7:7" x14ac:dyDescent="0.3">
      <c r="G20" s="2">
        <v>100</v>
      </c>
    </row>
    <row r="21" spans="7:7" x14ac:dyDescent="0.3">
      <c r="G21" s="2">
        <v>105</v>
      </c>
    </row>
    <row r="22" spans="7:7" x14ac:dyDescent="0.3">
      <c r="G22" s="2">
        <v>110</v>
      </c>
    </row>
    <row r="23" spans="7:7" x14ac:dyDescent="0.3">
      <c r="G23" s="2">
        <v>115</v>
      </c>
    </row>
    <row r="24" spans="7:7" x14ac:dyDescent="0.3">
      <c r="G24" s="2">
        <v>120</v>
      </c>
    </row>
    <row r="25" spans="7:7" x14ac:dyDescent="0.3">
      <c r="G25" s="2">
        <v>125</v>
      </c>
    </row>
    <row r="26" spans="7:7" x14ac:dyDescent="0.3">
      <c r="G26" s="2">
        <v>130</v>
      </c>
    </row>
    <row r="27" spans="7:7" x14ac:dyDescent="0.3">
      <c r="G27" s="2">
        <v>135</v>
      </c>
    </row>
    <row r="28" spans="7:7" x14ac:dyDescent="0.3">
      <c r="G28" s="2">
        <v>140</v>
      </c>
    </row>
    <row r="29" spans="7:7" x14ac:dyDescent="0.3">
      <c r="G29" s="2">
        <v>145</v>
      </c>
    </row>
  </sheetData>
  <sheetProtection password="CC9D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topLeftCell="A5" zoomScaleNormal="100" workbookViewId="0">
      <selection activeCell="W17" sqref="W17"/>
    </sheetView>
  </sheetViews>
  <sheetFormatPr baseColWidth="10" defaultRowHeight="14.4" x14ac:dyDescent="0.3"/>
  <cols>
    <col min="1" max="16384" width="11.5546875" style="2"/>
  </cols>
  <sheetData>
    <row r="1" spans="1:20" ht="43.2" x14ac:dyDescent="0.3">
      <c r="A1" s="1" t="s">
        <v>36</v>
      </c>
      <c r="B1" s="1" t="s">
        <v>37</v>
      </c>
      <c r="C1" s="1" t="s">
        <v>47</v>
      </c>
      <c r="E1" s="1" t="s">
        <v>39</v>
      </c>
      <c r="G1" s="1" t="s">
        <v>32</v>
      </c>
      <c r="I1" s="2" t="s">
        <v>49</v>
      </c>
      <c r="J1" s="1" t="s">
        <v>97</v>
      </c>
      <c r="K1" s="2" t="s">
        <v>50</v>
      </c>
      <c r="L1" s="2" t="s">
        <v>98</v>
      </c>
      <c r="N1" s="2" t="s">
        <v>1</v>
      </c>
      <c r="O1" s="3">
        <f>DONNEES!D8</f>
        <v>0</v>
      </c>
      <c r="P1" s="1" t="s">
        <v>51</v>
      </c>
      <c r="R1" s="1" t="s">
        <v>61</v>
      </c>
      <c r="T1" s="2" t="s">
        <v>96</v>
      </c>
    </row>
    <row r="2" spans="1:20" x14ac:dyDescent="0.3">
      <c r="A2" s="2">
        <f>DONNEES!B5</f>
        <v>110</v>
      </c>
      <c r="B2" s="2">
        <f>IF(OR(A2&lt;32,A2&gt;362),"Erreur dimension",B4)</f>
        <v>100</v>
      </c>
      <c r="C2" s="2">
        <f>VLOOKUP(A4,correspondance!A3:C35,E2)</f>
        <v>43</v>
      </c>
      <c r="E2" s="2">
        <f>IF(DONNEES!E5=3,3,2)</f>
        <v>3</v>
      </c>
      <c r="G2" s="2">
        <f>DONNEES!C5</f>
        <v>60</v>
      </c>
      <c r="I2" s="2">
        <f>DONNEES!D5</f>
        <v>18</v>
      </c>
      <c r="J2" s="2">
        <f>VLOOKUP(B2,correspondance!E4:G35,3)</f>
        <v>71</v>
      </c>
      <c r="K2" s="2">
        <f>MAX(A2,B2)+P2+DONNEES!A5/2</f>
        <v>112</v>
      </c>
      <c r="P2" s="2">
        <f>P3+P5</f>
        <v>0</v>
      </c>
      <c r="R2" s="3">
        <f>ROUNDDOWN($L$3/(($G$2/100*$I$2)+($I$4/$K$4)),2)</f>
        <v>1.52</v>
      </c>
      <c r="T2" s="2">
        <f>VLOOKUP(B2,correspondance!E4:F35,2)</f>
        <v>29</v>
      </c>
    </row>
    <row r="3" spans="1:20" ht="43.2" x14ac:dyDescent="0.3">
      <c r="A3" s="1" t="s">
        <v>38</v>
      </c>
      <c r="B3" s="1" t="s">
        <v>40</v>
      </c>
      <c r="C3" s="2" t="s">
        <v>43</v>
      </c>
      <c r="F3" s="1" t="s">
        <v>48</v>
      </c>
      <c r="G3" s="1" t="s">
        <v>56</v>
      </c>
      <c r="I3" s="2" t="s">
        <v>53</v>
      </c>
      <c r="K3" s="2" t="s">
        <v>52</v>
      </c>
      <c r="L3" s="2">
        <f>C2/1.5/K4</f>
        <v>18.172619047619051</v>
      </c>
      <c r="N3" s="2" t="s">
        <v>25</v>
      </c>
      <c r="O3" s="3">
        <f>DONNEES!E8</f>
        <v>22</v>
      </c>
      <c r="P3" s="2">
        <f>IF(O1=0,0,O3)</f>
        <v>0</v>
      </c>
    </row>
    <row r="4" spans="1:20" ht="28.95" x14ac:dyDescent="0.3">
      <c r="A4" s="2">
        <f>(ROUNDUP((A2-11)/10,0))*10</f>
        <v>100</v>
      </c>
      <c r="B4" s="2">
        <f>VLOOKUP($A4,correspondance!A3:E35,5)</f>
        <v>100</v>
      </c>
      <c r="C4" s="2" t="str">
        <f>VLOOKUP($A4,correspondance!A3:E35,4)</f>
        <v>QSFEQ2102/C100</v>
      </c>
      <c r="F4" s="3">
        <f>MIN(ROUNDDOWN($L$3/(($G$2/100*$I$2)+($I$4/$K$4)),2),T16)</f>
        <v>1.52</v>
      </c>
      <c r="G4" s="2">
        <f>ROUNDDOWN(F4/1.5,2)</f>
        <v>1.01</v>
      </c>
      <c r="I4" s="2">
        <f>(DONNEES!C8*DONNEES!B8/1000)/2</f>
        <v>1.75</v>
      </c>
      <c r="K4" s="2">
        <f>IF(L4&lt;1,1,L4)</f>
        <v>1.5774647887323943</v>
      </c>
      <c r="L4" s="2">
        <f>$K$2/$J$2</f>
        <v>1.5774647887323943</v>
      </c>
      <c r="R4" s="1" t="s">
        <v>62</v>
      </c>
      <c r="S4" s="2" t="s">
        <v>63</v>
      </c>
    </row>
    <row r="5" spans="1:20" x14ac:dyDescent="0.3">
      <c r="E5" s="2" t="s">
        <v>55</v>
      </c>
      <c r="F5" s="2">
        <f>MIN(F4,1.35)</f>
        <v>1.35</v>
      </c>
      <c r="G5" s="2">
        <f>MIN(G4,0.9)</f>
        <v>0.9</v>
      </c>
      <c r="I5" s="2" t="s">
        <v>54</v>
      </c>
      <c r="N5" s="2" t="s">
        <v>26</v>
      </c>
      <c r="O5" s="4">
        <f>DONNEES!F8</f>
        <v>22</v>
      </c>
      <c r="P5" s="2">
        <f>IF(O1=2,O5,0)</f>
        <v>0</v>
      </c>
      <c r="S5" s="2">
        <v>90</v>
      </c>
    </row>
    <row r="6" spans="1:20" x14ac:dyDescent="0.3">
      <c r="D6" s="1"/>
      <c r="E6" s="1"/>
      <c r="F6" s="1"/>
      <c r="G6" s="1"/>
      <c r="H6" s="1"/>
      <c r="I6" s="1"/>
      <c r="J6" s="1"/>
      <c r="O6" s="4"/>
    </row>
    <row r="7" spans="1:20" ht="28.8" x14ac:dyDescent="0.3">
      <c r="B7" s="2" t="s">
        <v>33</v>
      </c>
      <c r="C7" s="2" t="s">
        <v>34</v>
      </c>
      <c r="D7" s="1" t="s">
        <v>27</v>
      </c>
      <c r="E7" s="1" t="s">
        <v>28</v>
      </c>
      <c r="F7" s="1" t="s">
        <v>35</v>
      </c>
      <c r="G7" s="1" t="s">
        <v>45</v>
      </c>
      <c r="H7" s="1" t="s">
        <v>44</v>
      </c>
      <c r="I7" s="1" t="s">
        <v>46</v>
      </c>
      <c r="J7" s="1" t="s">
        <v>57</v>
      </c>
      <c r="K7" s="1" t="s">
        <v>58</v>
      </c>
      <c r="L7" s="1" t="s">
        <v>59</v>
      </c>
      <c r="M7" s="1" t="s">
        <v>60</v>
      </c>
      <c r="O7" s="4"/>
      <c r="R7" s="2" t="s">
        <v>64</v>
      </c>
    </row>
    <row r="8" spans="1:20" x14ac:dyDescent="0.3">
      <c r="A8" s="3" t="s">
        <v>5</v>
      </c>
      <c r="B8" s="3">
        <f>DONNEES!B20</f>
        <v>4</v>
      </c>
      <c r="C8" s="3">
        <f>DONNEES!C20</f>
        <v>5</v>
      </c>
      <c r="D8" s="3" t="str">
        <f>DONNEES!D20</f>
        <v>Angle sortant</v>
      </c>
      <c r="E8" s="3" t="str">
        <f>DONNEES!E20</f>
        <v>Angle sortant</v>
      </c>
      <c r="F8" s="3">
        <f>(ROUNDUP(B8/($G$2/100),0)-1)*I8</f>
        <v>6</v>
      </c>
      <c r="G8" s="3">
        <f>$I8*IF(D8="sortant",1,0)</f>
        <v>0</v>
      </c>
      <c r="H8" s="3">
        <f>$I8*IF(E8="sortant",1,0)</f>
        <v>0</v>
      </c>
      <c r="I8" s="3">
        <f>IF(B8&gt;0,1,0)</f>
        <v>1</v>
      </c>
      <c r="J8" s="3">
        <f>IF(C8&gt;0,ROUNDUP((C8-0.2)/(K8-1),2),0)</f>
        <v>1.2</v>
      </c>
      <c r="K8" s="3">
        <f>ROUNDUP((C8-0.2)/$F$5,0)+1</f>
        <v>5</v>
      </c>
      <c r="L8" s="3">
        <f>ROUNDUP((C8-0.2)/$G$5,0)+1</f>
        <v>7</v>
      </c>
      <c r="M8" s="3">
        <f>L8*(H8+G8)+K8*F8+K8*I8*2</f>
        <v>40</v>
      </c>
      <c r="O8" s="3"/>
    </row>
    <row r="9" spans="1:20" x14ac:dyDescent="0.3">
      <c r="A9" s="3" t="s">
        <v>6</v>
      </c>
      <c r="B9" s="3">
        <f>DONNEES!B21</f>
        <v>6</v>
      </c>
      <c r="C9" s="3">
        <f>DONNEES!C21</f>
        <v>7</v>
      </c>
      <c r="D9" s="3" t="str">
        <f>DONNEES!D21</f>
        <v>Angle sortant</v>
      </c>
      <c r="E9" s="3" t="str">
        <f>DONNEES!E21</f>
        <v>Angle sortant</v>
      </c>
      <c r="F9" s="3">
        <f t="shared" ref="F9:F27" si="0">IF(B9&gt;0,ROUNDUP(B9/($G$2/100),0)-1,0)</f>
        <v>9</v>
      </c>
      <c r="G9" s="3">
        <f t="shared" ref="G9:G27" si="1">$I9*IF(D9="sortant",1,0)</f>
        <v>0</v>
      </c>
      <c r="H9" s="3">
        <f t="shared" ref="H9:H27" si="2">$I9*IF(E9="sortant",1,0)</f>
        <v>0</v>
      </c>
      <c r="I9" s="3">
        <f t="shared" ref="I9:I27" si="3">IF(B9&gt;0,1,0)</f>
        <v>1</v>
      </c>
      <c r="J9" s="3">
        <f t="shared" ref="J9:J27" si="4">IF(C9&gt;0,ROUNDUP((C9-0.2)/(K9-1),2),0)</f>
        <v>1.1399999999999999</v>
      </c>
      <c r="K9" s="3">
        <f t="shared" ref="K9:K27" si="5">ROUNDUP((C9-0.2)/$F$5,0)+1</f>
        <v>7</v>
      </c>
      <c r="L9" s="3">
        <f t="shared" ref="L9:L27" si="6">ROUNDUP((C9-0.2)/$G$5,0)+1</f>
        <v>9</v>
      </c>
      <c r="M9" s="3">
        <f t="shared" ref="M9:M27" si="7">L9*(H9+G9)+K9*F9+K9*I9*2</f>
        <v>77</v>
      </c>
      <c r="N9" s="3"/>
      <c r="O9" s="3"/>
    </row>
    <row r="10" spans="1:20" x14ac:dyDescent="0.3">
      <c r="A10" s="3" t="s">
        <v>7</v>
      </c>
      <c r="B10" s="3">
        <f>DONNEES!B22</f>
        <v>8</v>
      </c>
      <c r="C10" s="3">
        <f>DONNEES!C22</f>
        <v>9</v>
      </c>
      <c r="D10" s="3" t="str">
        <f>DONNEES!D22</f>
        <v>Angle sortant</v>
      </c>
      <c r="E10" s="3" t="str">
        <f>DONNEES!E22</f>
        <v>Angle sortant</v>
      </c>
      <c r="F10" s="3">
        <f t="shared" si="0"/>
        <v>13</v>
      </c>
      <c r="G10" s="3">
        <f t="shared" si="1"/>
        <v>0</v>
      </c>
      <c r="H10" s="3">
        <f t="shared" si="2"/>
        <v>0</v>
      </c>
      <c r="I10" s="3">
        <f t="shared" si="3"/>
        <v>1</v>
      </c>
      <c r="J10" s="3">
        <f t="shared" si="4"/>
        <v>1.26</v>
      </c>
      <c r="K10" s="3">
        <f t="shared" si="5"/>
        <v>8</v>
      </c>
      <c r="L10" s="3">
        <f t="shared" si="6"/>
        <v>11</v>
      </c>
      <c r="M10" s="3">
        <f t="shared" si="7"/>
        <v>120</v>
      </c>
      <c r="N10" s="3"/>
      <c r="O10" s="3"/>
      <c r="Q10" s="2" t="s">
        <v>83</v>
      </c>
    </row>
    <row r="11" spans="1:20" x14ac:dyDescent="0.3">
      <c r="A11" s="3" t="s">
        <v>8</v>
      </c>
      <c r="B11" s="3">
        <f>DONNEES!B23</f>
        <v>10</v>
      </c>
      <c r="C11" s="3">
        <f>DONNEES!C23</f>
        <v>11</v>
      </c>
      <c r="D11" s="3" t="str">
        <f>DONNEES!D23</f>
        <v>Angle sortant</v>
      </c>
      <c r="E11" s="3" t="str">
        <f>DONNEES!E23</f>
        <v>Angle sortant</v>
      </c>
      <c r="F11" s="3">
        <f t="shared" si="0"/>
        <v>16</v>
      </c>
      <c r="G11" s="3">
        <f t="shared" si="1"/>
        <v>0</v>
      </c>
      <c r="H11" s="3">
        <f t="shared" si="2"/>
        <v>0</v>
      </c>
      <c r="I11" s="3">
        <f t="shared" si="3"/>
        <v>1</v>
      </c>
      <c r="J11" s="3">
        <f t="shared" si="4"/>
        <v>1.35</v>
      </c>
      <c r="K11" s="3">
        <f t="shared" si="5"/>
        <v>9</v>
      </c>
      <c r="L11" s="3">
        <f t="shared" si="6"/>
        <v>13</v>
      </c>
      <c r="M11" s="3">
        <f t="shared" si="7"/>
        <v>162</v>
      </c>
      <c r="N11" s="3"/>
      <c r="O11" s="3"/>
      <c r="Q11" s="2" t="s">
        <v>84</v>
      </c>
    </row>
    <row r="12" spans="1:20" x14ac:dyDescent="0.3">
      <c r="A12" s="3" t="s">
        <v>9</v>
      </c>
      <c r="B12" s="3">
        <f>DONNEES!B24</f>
        <v>0</v>
      </c>
      <c r="C12" s="3">
        <f>DONNEES!C24</f>
        <v>0</v>
      </c>
      <c r="D12" s="3">
        <f>DONNEES!D24</f>
        <v>0</v>
      </c>
      <c r="E12" s="3">
        <f>DONNEES!E24</f>
        <v>0</v>
      </c>
      <c r="F12" s="3">
        <f t="shared" si="0"/>
        <v>0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3">
        <f t="shared" si="4"/>
        <v>0</v>
      </c>
      <c r="K12" s="3">
        <f t="shared" si="5"/>
        <v>0</v>
      </c>
      <c r="L12" s="3">
        <f t="shared" si="6"/>
        <v>0</v>
      </c>
      <c r="M12" s="3">
        <f t="shared" si="7"/>
        <v>0</v>
      </c>
      <c r="N12" s="3"/>
      <c r="O12" s="3"/>
      <c r="Q12" s="2" t="s">
        <v>85</v>
      </c>
    </row>
    <row r="13" spans="1:20" x14ac:dyDescent="0.3">
      <c r="A13" s="3" t="s">
        <v>10</v>
      </c>
      <c r="B13" s="3">
        <f>DONNEES!B25</f>
        <v>0</v>
      </c>
      <c r="C13" s="3">
        <f>DONNEES!C25</f>
        <v>0</v>
      </c>
      <c r="D13" s="3">
        <f>DONNEES!D25</f>
        <v>0</v>
      </c>
      <c r="E13" s="3">
        <f>DONNEES!E25</f>
        <v>0</v>
      </c>
      <c r="F13" s="3">
        <f t="shared" si="0"/>
        <v>0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3">
        <f t="shared" si="4"/>
        <v>0</v>
      </c>
      <c r="K13" s="3">
        <f t="shared" si="5"/>
        <v>0</v>
      </c>
      <c r="L13" s="3">
        <f t="shared" si="6"/>
        <v>0</v>
      </c>
      <c r="M13" s="3">
        <f t="shared" si="7"/>
        <v>0</v>
      </c>
      <c r="N13" s="3"/>
      <c r="O13" s="3"/>
    </row>
    <row r="14" spans="1:20" x14ac:dyDescent="0.3">
      <c r="A14" s="3" t="s">
        <v>11</v>
      </c>
      <c r="B14" s="3">
        <f>DONNEES!B26</f>
        <v>0</v>
      </c>
      <c r="C14" s="3">
        <f>DONNEES!C26</f>
        <v>0</v>
      </c>
      <c r="D14" s="3">
        <f>DONNEES!D26</f>
        <v>0</v>
      </c>
      <c r="E14" s="3">
        <f>DONNEES!E26</f>
        <v>0</v>
      </c>
      <c r="F14" s="3">
        <f t="shared" si="0"/>
        <v>0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3">
        <f t="shared" si="4"/>
        <v>0</v>
      </c>
      <c r="K14" s="3">
        <f t="shared" si="5"/>
        <v>0</v>
      </c>
      <c r="L14" s="3">
        <f t="shared" si="6"/>
        <v>0</v>
      </c>
      <c r="M14" s="3">
        <f t="shared" si="7"/>
        <v>0</v>
      </c>
      <c r="N14" s="3"/>
      <c r="O14" s="3"/>
    </row>
    <row r="15" spans="1:20" x14ac:dyDescent="0.3">
      <c r="A15" s="3" t="s">
        <v>12</v>
      </c>
      <c r="B15" s="3">
        <f>DONNEES!B27</f>
        <v>0</v>
      </c>
      <c r="C15" s="3">
        <f>DONNEES!C27</f>
        <v>0</v>
      </c>
      <c r="D15" s="3">
        <f>DONNEES!D27</f>
        <v>0</v>
      </c>
      <c r="E15" s="3">
        <f>DONNEES!E27</f>
        <v>0</v>
      </c>
      <c r="F15" s="3">
        <f t="shared" si="0"/>
        <v>0</v>
      </c>
      <c r="G15" s="3">
        <f t="shared" si="1"/>
        <v>0</v>
      </c>
      <c r="H15" s="3">
        <f t="shared" si="2"/>
        <v>0</v>
      </c>
      <c r="I15" s="3">
        <f t="shared" si="3"/>
        <v>0</v>
      </c>
      <c r="J15" s="3">
        <f t="shared" si="4"/>
        <v>0</v>
      </c>
      <c r="K15" s="3">
        <f t="shared" si="5"/>
        <v>0</v>
      </c>
      <c r="L15" s="3">
        <f t="shared" si="6"/>
        <v>0</v>
      </c>
      <c r="M15" s="3">
        <f t="shared" si="7"/>
        <v>0</v>
      </c>
      <c r="N15" s="3"/>
      <c r="O15" s="3"/>
      <c r="R15" s="2" t="s">
        <v>89</v>
      </c>
      <c r="T15" s="2" t="s">
        <v>92</v>
      </c>
    </row>
    <row r="16" spans="1:20" x14ac:dyDescent="0.3">
      <c r="A16" s="3" t="s">
        <v>13</v>
      </c>
      <c r="B16" s="3">
        <f>DONNEES!B28</f>
        <v>0</v>
      </c>
      <c r="C16" s="3">
        <f>DONNEES!C28</f>
        <v>0</v>
      </c>
      <c r="D16" s="3">
        <f>DONNEES!D28</f>
        <v>0</v>
      </c>
      <c r="E16" s="3">
        <f>DONNEES!E28</f>
        <v>0</v>
      </c>
      <c r="F16" s="3">
        <f t="shared" si="0"/>
        <v>0</v>
      </c>
      <c r="G16" s="3">
        <f t="shared" si="1"/>
        <v>0</v>
      </c>
      <c r="H16" s="3">
        <f t="shared" si="2"/>
        <v>0</v>
      </c>
      <c r="I16" s="3">
        <f t="shared" si="3"/>
        <v>0</v>
      </c>
      <c r="J16" s="3">
        <f t="shared" si="4"/>
        <v>0</v>
      </c>
      <c r="K16" s="3">
        <f t="shared" si="5"/>
        <v>0</v>
      </c>
      <c r="L16" s="3">
        <f t="shared" si="6"/>
        <v>0</v>
      </c>
      <c r="M16" s="3">
        <f t="shared" si="7"/>
        <v>0</v>
      </c>
      <c r="N16" s="3"/>
      <c r="O16" s="3"/>
      <c r="R16" s="2">
        <f>VLOOKUP(DONNEES!F5,correspondance!N2:Q7,3)*R25</f>
        <v>53.099999999999994</v>
      </c>
      <c r="T16" s="2">
        <f>ROUNDDOWN(S5/((G2/100)*R16*R19*R23),2)</f>
        <v>1.86</v>
      </c>
    </row>
    <row r="17" spans="1:20" x14ac:dyDescent="0.3">
      <c r="A17" s="3" t="s">
        <v>14</v>
      </c>
      <c r="B17" s="3">
        <f>DONNEES!B29</f>
        <v>0</v>
      </c>
      <c r="C17" s="3">
        <f>DONNEES!C29</f>
        <v>0</v>
      </c>
      <c r="D17" s="3">
        <f>DONNEES!D29</f>
        <v>0</v>
      </c>
      <c r="E17" s="3">
        <f>DONNEES!E29</f>
        <v>0</v>
      </c>
      <c r="F17" s="3">
        <f t="shared" si="0"/>
        <v>0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3">
        <f t="shared" si="4"/>
        <v>0</v>
      </c>
      <c r="K17" s="3">
        <f t="shared" si="5"/>
        <v>0</v>
      </c>
      <c r="L17" s="3">
        <f t="shared" si="6"/>
        <v>0</v>
      </c>
      <c r="M17" s="3">
        <f t="shared" si="7"/>
        <v>0</v>
      </c>
      <c r="N17" s="3"/>
      <c r="O17" s="3"/>
    </row>
    <row r="18" spans="1:20" x14ac:dyDescent="0.3">
      <c r="A18" s="3" t="s">
        <v>15</v>
      </c>
      <c r="B18" s="3">
        <f>DONNEES!B30</f>
        <v>0</v>
      </c>
      <c r="C18" s="3">
        <f>DONNEES!C30</f>
        <v>0</v>
      </c>
      <c r="D18" s="3">
        <f>DONNEES!D30</f>
        <v>0</v>
      </c>
      <c r="E18" s="3">
        <f>DONNEES!E30</f>
        <v>0</v>
      </c>
      <c r="F18" s="3">
        <f t="shared" si="0"/>
        <v>0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3">
        <f t="shared" si="4"/>
        <v>0</v>
      </c>
      <c r="K18" s="3">
        <f t="shared" si="5"/>
        <v>0</v>
      </c>
      <c r="L18" s="3">
        <f t="shared" si="6"/>
        <v>0</v>
      </c>
      <c r="M18" s="3">
        <f t="shared" si="7"/>
        <v>0</v>
      </c>
      <c r="N18" s="3"/>
      <c r="O18" s="3"/>
      <c r="R18" s="2" t="s">
        <v>90</v>
      </c>
    </row>
    <row r="19" spans="1:20" x14ac:dyDescent="0.3">
      <c r="A19" s="3" t="s">
        <v>16</v>
      </c>
      <c r="B19" s="3">
        <f>DONNEES!B31</f>
        <v>0</v>
      </c>
      <c r="C19" s="3">
        <f>DONNEES!C31</f>
        <v>0</v>
      </c>
      <c r="D19" s="3">
        <f>DONNEES!D31</f>
        <v>0</v>
      </c>
      <c r="E19" s="3">
        <f>DONNEES!E31</f>
        <v>0</v>
      </c>
      <c r="F19" s="3">
        <f t="shared" si="0"/>
        <v>0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3">
        <f t="shared" si="4"/>
        <v>0</v>
      </c>
      <c r="K19" s="3">
        <f t="shared" si="5"/>
        <v>0</v>
      </c>
      <c r="L19" s="3">
        <f t="shared" si="6"/>
        <v>0</v>
      </c>
      <c r="M19" s="3">
        <f t="shared" si="7"/>
        <v>0</v>
      </c>
      <c r="N19" s="3"/>
      <c r="O19" s="3"/>
      <c r="R19" s="2">
        <f>VLOOKUP(DONNEES!H5,correspondance!N14:S16,calcul!R21+1)</f>
        <v>1.2</v>
      </c>
      <c r="S19" s="2" t="str">
        <f>VLOOKUP(DONNEES!H5,correspondance!N14:S17,1)</f>
        <v>exposé</v>
      </c>
      <c r="T19" s="2" t="str">
        <f>DONNEES!H5</f>
        <v>EXPOSÉE</v>
      </c>
    </row>
    <row r="20" spans="1:20" x14ac:dyDescent="0.3">
      <c r="A20" s="3" t="s">
        <v>17</v>
      </c>
      <c r="B20" s="3">
        <f>DONNEES!B32</f>
        <v>0</v>
      </c>
      <c r="C20" s="3">
        <f>DONNEES!C32</f>
        <v>0</v>
      </c>
      <c r="D20" s="3">
        <f>DONNEES!D32</f>
        <v>0</v>
      </c>
      <c r="E20" s="3">
        <f>DONNEES!E32</f>
        <v>0</v>
      </c>
      <c r="F20" s="3">
        <f t="shared" si="0"/>
        <v>0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3">
        <f t="shared" si="4"/>
        <v>0</v>
      </c>
      <c r="K20" s="3">
        <f t="shared" si="5"/>
        <v>0</v>
      </c>
      <c r="L20" s="3">
        <f t="shared" si="6"/>
        <v>0</v>
      </c>
      <c r="M20" s="3">
        <f t="shared" si="7"/>
        <v>0</v>
      </c>
      <c r="N20" s="3"/>
      <c r="O20" s="3"/>
      <c r="R20" s="2" t="s">
        <v>68</v>
      </c>
    </row>
    <row r="21" spans="1:20" x14ac:dyDescent="0.3">
      <c r="A21" s="3" t="s">
        <v>18</v>
      </c>
      <c r="B21" s="3">
        <f>DONNEES!B33</f>
        <v>0</v>
      </c>
      <c r="C21" s="3">
        <f>DONNEES!C33</f>
        <v>0</v>
      </c>
      <c r="D21" s="3">
        <f>DONNEES!D33</f>
        <v>0</v>
      </c>
      <c r="E21" s="3">
        <f>DONNEES!E33</f>
        <v>0</v>
      </c>
      <c r="F21" s="3">
        <f t="shared" si="0"/>
        <v>0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3">
        <f t="shared" si="4"/>
        <v>0</v>
      </c>
      <c r="K21" s="3">
        <f t="shared" si="5"/>
        <v>0</v>
      </c>
      <c r="L21" s="3">
        <f t="shared" si="6"/>
        <v>0</v>
      </c>
      <c r="M21" s="3">
        <f t="shared" si="7"/>
        <v>0</v>
      </c>
      <c r="N21" s="3"/>
      <c r="O21" s="3"/>
      <c r="R21" s="2">
        <f>VLOOKUP(DONNEES!F5,correspondance!N3:O7,2)</f>
        <v>4</v>
      </c>
    </row>
    <row r="22" spans="1:20" x14ac:dyDescent="0.3">
      <c r="A22" s="3" t="s">
        <v>19</v>
      </c>
      <c r="B22" s="3">
        <f>DONNEES!B34</f>
        <v>0</v>
      </c>
      <c r="C22" s="3">
        <f>DONNEES!C34</f>
        <v>0</v>
      </c>
      <c r="D22" s="3">
        <f>DONNEES!D34</f>
        <v>0</v>
      </c>
      <c r="E22" s="3">
        <f>DONNEES!E34</f>
        <v>0</v>
      </c>
      <c r="F22" s="3">
        <f t="shared" si="0"/>
        <v>0</v>
      </c>
      <c r="G22" s="3">
        <f t="shared" si="1"/>
        <v>0</v>
      </c>
      <c r="H22" s="3">
        <f t="shared" si="2"/>
        <v>0</v>
      </c>
      <c r="I22" s="3">
        <f t="shared" si="3"/>
        <v>0</v>
      </c>
      <c r="J22" s="3">
        <f t="shared" si="4"/>
        <v>0</v>
      </c>
      <c r="K22" s="3">
        <f t="shared" si="5"/>
        <v>0</v>
      </c>
      <c r="L22" s="3">
        <f t="shared" si="6"/>
        <v>0</v>
      </c>
      <c r="M22" s="3">
        <f t="shared" si="7"/>
        <v>0</v>
      </c>
      <c r="N22" s="3"/>
      <c r="O22" s="3"/>
      <c r="R22" s="2" t="s">
        <v>91</v>
      </c>
    </row>
    <row r="23" spans="1:20" x14ac:dyDescent="0.3">
      <c r="A23" s="3" t="s">
        <v>20</v>
      </c>
      <c r="B23" s="3">
        <f>DONNEES!B35</f>
        <v>0</v>
      </c>
      <c r="C23" s="3">
        <f>DONNEES!C35</f>
        <v>0</v>
      </c>
      <c r="D23" s="3">
        <f>DONNEES!D35</f>
        <v>0</v>
      </c>
      <c r="E23" s="3">
        <f>DONNEES!E35</f>
        <v>0</v>
      </c>
      <c r="F23" s="3">
        <f t="shared" si="0"/>
        <v>0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3">
        <f t="shared" si="4"/>
        <v>0</v>
      </c>
      <c r="K23" s="3">
        <f t="shared" si="5"/>
        <v>0</v>
      </c>
      <c r="L23" s="3">
        <f t="shared" si="6"/>
        <v>0</v>
      </c>
      <c r="M23" s="3">
        <f t="shared" si="7"/>
        <v>0</v>
      </c>
      <c r="N23" s="3"/>
      <c r="O23" s="3"/>
      <c r="R23" s="2">
        <f>VLOOKUP(DONNEES!G5,correspondance!J4:K31,2)</f>
        <v>1.2647058823529411</v>
      </c>
    </row>
    <row r="24" spans="1:20" x14ac:dyDescent="0.3">
      <c r="A24" s="3" t="s">
        <v>21</v>
      </c>
      <c r="B24" s="3">
        <f>DONNEES!B36</f>
        <v>0</v>
      </c>
      <c r="C24" s="3">
        <f>DONNEES!C36</f>
        <v>0</v>
      </c>
      <c r="D24" s="3">
        <f>DONNEES!D36</f>
        <v>0</v>
      </c>
      <c r="E24" s="3">
        <f>DONNEES!E36</f>
        <v>0</v>
      </c>
      <c r="F24" s="3">
        <f t="shared" si="0"/>
        <v>0</v>
      </c>
      <c r="G24" s="3">
        <f t="shared" si="1"/>
        <v>0</v>
      </c>
      <c r="H24" s="3">
        <f t="shared" si="2"/>
        <v>0</v>
      </c>
      <c r="I24" s="3">
        <f t="shared" si="3"/>
        <v>0</v>
      </c>
      <c r="J24" s="3">
        <f t="shared" si="4"/>
        <v>0</v>
      </c>
      <c r="K24" s="3">
        <f t="shared" si="5"/>
        <v>0</v>
      </c>
      <c r="L24" s="3">
        <f t="shared" si="6"/>
        <v>0</v>
      </c>
      <c r="M24" s="3">
        <f t="shared" si="7"/>
        <v>0</v>
      </c>
      <c r="N24" s="3"/>
      <c r="O24" s="3"/>
      <c r="R24" s="2" t="s">
        <v>93</v>
      </c>
    </row>
    <row r="25" spans="1:20" x14ac:dyDescent="0.3">
      <c r="A25" s="3" t="s">
        <v>22</v>
      </c>
      <c r="B25" s="3">
        <f>DONNEES!B37</f>
        <v>0</v>
      </c>
      <c r="C25" s="3">
        <f>DONNEES!C37</f>
        <v>0</v>
      </c>
      <c r="D25" s="3">
        <f>DONNEES!D37</f>
        <v>0</v>
      </c>
      <c r="E25" s="3">
        <f>DONNEES!E37</f>
        <v>0</v>
      </c>
      <c r="F25" s="3">
        <f t="shared" si="0"/>
        <v>0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3">
        <f t="shared" si="4"/>
        <v>0</v>
      </c>
      <c r="K25" s="3">
        <f t="shared" si="5"/>
        <v>0</v>
      </c>
      <c r="L25" s="3">
        <f t="shared" si="6"/>
        <v>0</v>
      </c>
      <c r="M25" s="3">
        <f t="shared" si="7"/>
        <v>0</v>
      </c>
      <c r="N25" s="3"/>
      <c r="O25" s="3"/>
      <c r="R25" s="2">
        <v>0.59</v>
      </c>
    </row>
    <row r="26" spans="1:20" x14ac:dyDescent="0.3">
      <c r="A26" s="3" t="s">
        <v>23</v>
      </c>
      <c r="B26" s="3">
        <f>DONNEES!B38</f>
        <v>0</v>
      </c>
      <c r="C26" s="3">
        <f>DONNEES!C38</f>
        <v>0</v>
      </c>
      <c r="D26" s="3">
        <f>DONNEES!D38</f>
        <v>0</v>
      </c>
      <c r="E26" s="3">
        <f>DONNEES!E38</f>
        <v>0</v>
      </c>
      <c r="F26" s="3">
        <f t="shared" si="0"/>
        <v>0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3">
        <f t="shared" si="4"/>
        <v>0</v>
      </c>
      <c r="K26" s="3">
        <f t="shared" si="5"/>
        <v>0</v>
      </c>
      <c r="L26" s="3">
        <f t="shared" si="6"/>
        <v>0</v>
      </c>
      <c r="M26" s="3">
        <f t="shared" si="7"/>
        <v>0</v>
      </c>
      <c r="N26" s="3"/>
      <c r="O26" s="3"/>
    </row>
    <row r="27" spans="1:20" x14ac:dyDescent="0.3">
      <c r="A27" s="3" t="s">
        <v>24</v>
      </c>
      <c r="B27" s="3">
        <f>DONNEES!B39</f>
        <v>0</v>
      </c>
      <c r="C27" s="3">
        <f>DONNEES!C39</f>
        <v>0</v>
      </c>
      <c r="D27" s="3">
        <f>DONNEES!D39</f>
        <v>0</v>
      </c>
      <c r="E27" s="3">
        <f>DONNEES!E39</f>
        <v>0</v>
      </c>
      <c r="F27" s="3">
        <f t="shared" si="0"/>
        <v>0</v>
      </c>
      <c r="G27" s="3">
        <f t="shared" si="1"/>
        <v>0</v>
      </c>
      <c r="H27" s="3">
        <f t="shared" si="2"/>
        <v>0</v>
      </c>
      <c r="I27" s="3">
        <f t="shared" si="3"/>
        <v>0</v>
      </c>
      <c r="J27" s="3">
        <f t="shared" si="4"/>
        <v>0</v>
      </c>
      <c r="K27" s="3">
        <f t="shared" si="5"/>
        <v>0</v>
      </c>
      <c r="L27" s="3">
        <f t="shared" si="6"/>
        <v>0</v>
      </c>
      <c r="M27" s="3">
        <f t="shared" si="7"/>
        <v>0</v>
      </c>
      <c r="N27" s="3"/>
      <c r="O27" s="3"/>
    </row>
  </sheetData>
  <sheetProtection password="CC9D" sheet="1" objects="1" scenarios="1"/>
  <conditionalFormatting sqref="N5:O7">
    <cfRule type="expression" dxfId="1" priority="2" stopIfTrue="1">
      <formula>$A$16-2</formula>
    </cfRule>
  </conditionalFormatting>
  <conditionalFormatting sqref="N3:O3">
    <cfRule type="expression" dxfId="0" priority="1" stopIfTrue="1">
      <formula>ROUNDUP(($A$16/2),0)-1</formula>
    </cfRule>
  </conditionalFormatting>
  <dataValidations disablePrompts="1" count="1">
    <dataValidation type="list" showInputMessage="1" showErrorMessage="1" sqref="O1">
      <formula1>tasseaux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0:J80"/>
  <sheetViews>
    <sheetView showGridLines="0" showRowColHeaders="0" view="pageBreakPreview" zoomScale="60" zoomScaleNormal="55" zoomScalePageLayoutView="55" workbookViewId="0">
      <selection activeCell="D19" sqref="D19"/>
    </sheetView>
  </sheetViews>
  <sheetFormatPr baseColWidth="10" defaultRowHeight="14.4" x14ac:dyDescent="0.3"/>
  <cols>
    <col min="1" max="1" width="29.109375" style="2" customWidth="1"/>
    <col min="2" max="2" width="31.21875" style="2" customWidth="1"/>
    <col min="3" max="3" width="23.6640625" style="2" customWidth="1"/>
    <col min="4" max="4" width="28.88671875" style="2" customWidth="1"/>
    <col min="5" max="5" width="26.6640625" style="2" customWidth="1"/>
    <col min="6" max="6" width="16.77734375" style="2" customWidth="1"/>
    <col min="7" max="7" width="33.6640625" style="2" customWidth="1"/>
    <col min="8" max="8" width="26.33203125" style="2" customWidth="1"/>
    <col min="9" max="9" width="23.5546875" style="75" customWidth="1"/>
    <col min="10" max="10" width="2" style="2" bestFit="1" customWidth="1"/>
    <col min="11" max="16384" width="11.5546875" style="2"/>
  </cols>
  <sheetData>
    <row r="20" spans="1:9" x14ac:dyDescent="0.3">
      <c r="G20" s="89" t="s">
        <v>199</v>
      </c>
      <c r="H20" s="118"/>
    </row>
    <row r="21" spans="1:9" x14ac:dyDescent="0.3">
      <c r="G21" s="3" t="s">
        <v>198</v>
      </c>
      <c r="H21" s="153"/>
    </row>
    <row r="22" spans="1:9" x14ac:dyDescent="0.3">
      <c r="A22" s="2" t="s">
        <v>192</v>
      </c>
      <c r="F22" s="2" t="s">
        <v>200</v>
      </c>
    </row>
    <row r="23" spans="1:9" x14ac:dyDescent="0.3">
      <c r="A23" s="90" t="s">
        <v>193</v>
      </c>
      <c r="E23" s="175"/>
      <c r="F23" s="176"/>
      <c r="G23" s="176"/>
      <c r="H23" s="176"/>
      <c r="I23" s="177"/>
    </row>
    <row r="24" spans="1:9" x14ac:dyDescent="0.3">
      <c r="A24" s="2" t="s">
        <v>194</v>
      </c>
      <c r="B24" s="173" t="s">
        <v>196</v>
      </c>
      <c r="C24" s="174"/>
      <c r="E24" s="178"/>
      <c r="F24" s="179"/>
      <c r="G24" s="179"/>
      <c r="H24" s="179"/>
      <c r="I24" s="180"/>
    </row>
    <row r="25" spans="1:9" x14ac:dyDescent="0.3">
      <c r="A25" s="2" t="s">
        <v>195</v>
      </c>
      <c r="B25" s="173" t="s">
        <v>197</v>
      </c>
      <c r="C25" s="174"/>
      <c r="E25" s="178"/>
      <c r="F25" s="179"/>
      <c r="G25" s="179"/>
      <c r="H25" s="179"/>
      <c r="I25" s="180"/>
    </row>
    <row r="26" spans="1:9" x14ac:dyDescent="0.3">
      <c r="E26" s="178"/>
      <c r="F26" s="179"/>
      <c r="G26" s="179"/>
      <c r="H26" s="179"/>
      <c r="I26" s="180"/>
    </row>
    <row r="27" spans="1:9" x14ac:dyDescent="0.3">
      <c r="E27" s="181"/>
      <c r="F27" s="182"/>
      <c r="G27" s="182"/>
      <c r="H27" s="182"/>
      <c r="I27" s="183"/>
    </row>
    <row r="29" spans="1:9" ht="24.6" customHeight="1" x14ac:dyDescent="0.3"/>
    <row r="30" spans="1:9" x14ac:dyDescent="0.3">
      <c r="A30" s="91" t="s">
        <v>185</v>
      </c>
      <c r="B30" s="188"/>
      <c r="C30" s="189"/>
      <c r="D30" s="189"/>
      <c r="E30" s="190"/>
    </row>
    <row r="31" spans="1:9" x14ac:dyDescent="0.3">
      <c r="A31" s="91" t="s">
        <v>186</v>
      </c>
      <c r="B31" s="188"/>
      <c r="C31" s="189"/>
      <c r="D31" s="189"/>
      <c r="E31" s="190"/>
    </row>
    <row r="32" spans="1:9" x14ac:dyDescent="0.3">
      <c r="A32" s="1"/>
    </row>
    <row r="33" spans="1:9" x14ac:dyDescent="0.3">
      <c r="A33" s="91" t="s">
        <v>187</v>
      </c>
      <c r="B33" s="188"/>
      <c r="C33" s="189"/>
      <c r="D33" s="189"/>
      <c r="E33" s="189"/>
      <c r="F33" s="190"/>
    </row>
    <row r="34" spans="1:9" x14ac:dyDescent="0.3">
      <c r="A34" s="91" t="s">
        <v>188</v>
      </c>
      <c r="B34" s="188"/>
      <c r="C34" s="189"/>
      <c r="D34" s="189"/>
      <c r="E34" s="189"/>
      <c r="F34" s="189"/>
      <c r="G34" s="189"/>
      <c r="H34" s="189"/>
      <c r="I34" s="190"/>
    </row>
    <row r="35" spans="1:9" x14ac:dyDescent="0.3">
      <c r="A35" s="91" t="s">
        <v>189</v>
      </c>
      <c r="B35" s="188"/>
      <c r="C35" s="190"/>
    </row>
    <row r="36" spans="1:9" x14ac:dyDescent="0.3">
      <c r="A36" s="1"/>
    </row>
    <row r="37" spans="1:9" ht="28.95" customHeight="1" x14ac:dyDescent="0.3">
      <c r="A37" s="191" t="s">
        <v>190</v>
      </c>
      <c r="B37" s="193" t="s">
        <v>191</v>
      </c>
      <c r="C37" s="194"/>
      <c r="D37" s="194"/>
      <c r="E37" s="194"/>
      <c r="F37" s="194"/>
      <c r="G37" s="194"/>
      <c r="H37" s="194"/>
      <c r="I37" s="195"/>
    </row>
    <row r="38" spans="1:9" x14ac:dyDescent="0.3">
      <c r="A38" s="192"/>
      <c r="B38" s="196"/>
      <c r="C38" s="197"/>
      <c r="D38" s="197"/>
      <c r="E38" s="197"/>
      <c r="F38" s="197"/>
      <c r="G38" s="197"/>
      <c r="H38" s="197"/>
      <c r="I38" s="198"/>
    </row>
    <row r="39" spans="1:9" ht="33.6" x14ac:dyDescent="0.65">
      <c r="A39" s="184" t="s">
        <v>105</v>
      </c>
      <c r="B39" s="184"/>
      <c r="C39" s="184"/>
      <c r="D39" s="184"/>
      <c r="E39" s="184"/>
      <c r="F39" s="184"/>
      <c r="G39" s="184"/>
      <c r="H39" s="184"/>
      <c r="I39" s="184"/>
    </row>
    <row r="42" spans="1:9" ht="15" thickBot="1" x14ac:dyDescent="0.35"/>
    <row r="43" spans="1:9" ht="84.6" thickBot="1" x14ac:dyDescent="0.35">
      <c r="A43" s="92" t="s">
        <v>99</v>
      </c>
      <c r="B43" s="93" t="str">
        <f>DONNEES!B19</f>
        <v>Largeur (m)</v>
      </c>
      <c r="C43" s="94" t="str">
        <f>DONNEES!C19</f>
        <v>Hauteur (m)</v>
      </c>
      <c r="D43" s="94" t="str">
        <f>DONNEES!D19</f>
        <v>Type d'angle à gauche*</v>
      </c>
      <c r="E43" s="94" t="str">
        <f>DONNEES!E19</f>
        <v>Type d'angle à droite*</v>
      </c>
      <c r="F43" s="94" t="str">
        <f>DONNEES!F19</f>
        <v>Entraxe horizontal conseillé (cm)</v>
      </c>
      <c r="G43" s="94" t="str">
        <f>DONNEES!G19</f>
        <v>Nombre d'équerres par chevron en partie pleine :</v>
      </c>
      <c r="H43" s="94" t="str">
        <f>DONNEES!H19</f>
        <v>Nombre d'équerres par chevron en angle :</v>
      </c>
      <c r="I43" s="95" t="str">
        <f>DONNEES!I19</f>
        <v>Nombre total d'équerres sur la façade :</v>
      </c>
    </row>
    <row r="44" spans="1:9" ht="21" x14ac:dyDescent="0.4">
      <c r="A44" s="96" t="str">
        <f>DONNEES!A20</f>
        <v>Facade 1</v>
      </c>
      <c r="B44" s="97">
        <f>DONNEES!B20</f>
        <v>4</v>
      </c>
      <c r="C44" s="98">
        <f>DONNEES!C20</f>
        <v>5</v>
      </c>
      <c r="D44" s="98" t="str">
        <f>DONNEES!D20</f>
        <v>Angle sortant</v>
      </c>
      <c r="E44" s="98" t="str">
        <f>DONNEES!E20</f>
        <v>Angle sortant</v>
      </c>
      <c r="F44" s="98">
        <f>DONNEES!F20</f>
        <v>120</v>
      </c>
      <c r="G44" s="98">
        <f>DONNEES!G20</f>
        <v>5</v>
      </c>
      <c r="H44" s="98">
        <f>DONNEES!H20</f>
        <v>7</v>
      </c>
      <c r="I44" s="99">
        <f>DONNEES!I20</f>
        <v>40</v>
      </c>
    </row>
    <row r="45" spans="1:9" ht="21" x14ac:dyDescent="0.4">
      <c r="A45" s="100" t="str">
        <f>DONNEES!A21</f>
        <v>Facade 2</v>
      </c>
      <c r="B45" s="101">
        <f>DONNEES!B21</f>
        <v>6</v>
      </c>
      <c r="C45" s="102">
        <f>DONNEES!C21</f>
        <v>7</v>
      </c>
      <c r="D45" s="102" t="str">
        <f>DONNEES!D21</f>
        <v>Angle sortant</v>
      </c>
      <c r="E45" s="102" t="str">
        <f>DONNEES!E21</f>
        <v>Angle sortant</v>
      </c>
      <c r="F45" s="102">
        <f>DONNEES!F21</f>
        <v>113.99999999999999</v>
      </c>
      <c r="G45" s="102">
        <f>DONNEES!G21</f>
        <v>7</v>
      </c>
      <c r="H45" s="102">
        <f>DONNEES!H21</f>
        <v>9</v>
      </c>
      <c r="I45" s="103">
        <f>DONNEES!I21</f>
        <v>77</v>
      </c>
    </row>
    <row r="46" spans="1:9" ht="21" x14ac:dyDescent="0.4">
      <c r="A46" s="100" t="str">
        <f>DONNEES!A22</f>
        <v>Facade 3</v>
      </c>
      <c r="B46" s="101">
        <f>DONNEES!B22</f>
        <v>8</v>
      </c>
      <c r="C46" s="102">
        <f>DONNEES!C22</f>
        <v>9</v>
      </c>
      <c r="D46" s="102" t="str">
        <f>DONNEES!D22</f>
        <v>Angle sortant</v>
      </c>
      <c r="E46" s="102" t="str">
        <f>DONNEES!E22</f>
        <v>Angle sortant</v>
      </c>
      <c r="F46" s="102">
        <f>DONNEES!F22</f>
        <v>126</v>
      </c>
      <c r="G46" s="102">
        <f>DONNEES!G22</f>
        <v>8</v>
      </c>
      <c r="H46" s="102">
        <f>DONNEES!H22</f>
        <v>11</v>
      </c>
      <c r="I46" s="103">
        <f>DONNEES!I22</f>
        <v>120</v>
      </c>
    </row>
    <row r="47" spans="1:9" ht="21" x14ac:dyDescent="0.4">
      <c r="A47" s="100" t="str">
        <f>DONNEES!A23</f>
        <v>Facade 4</v>
      </c>
      <c r="B47" s="101">
        <f>DONNEES!B23</f>
        <v>10</v>
      </c>
      <c r="C47" s="102">
        <f>DONNEES!C23</f>
        <v>11</v>
      </c>
      <c r="D47" s="102" t="str">
        <f>DONNEES!D23</f>
        <v>Angle sortant</v>
      </c>
      <c r="E47" s="102" t="str">
        <f>DONNEES!E23</f>
        <v>Angle sortant</v>
      </c>
      <c r="F47" s="102">
        <f>DONNEES!F23</f>
        <v>135</v>
      </c>
      <c r="G47" s="102">
        <f>DONNEES!G23</f>
        <v>9</v>
      </c>
      <c r="H47" s="102">
        <f>DONNEES!H23</f>
        <v>13</v>
      </c>
      <c r="I47" s="103">
        <f>DONNEES!I23</f>
        <v>162</v>
      </c>
    </row>
    <row r="48" spans="1:9" ht="21" x14ac:dyDescent="0.4">
      <c r="A48" s="100" t="str">
        <f>DONNEES!A24</f>
        <v>Facade 5</v>
      </c>
      <c r="B48" s="101">
        <f>DONNEES!B24</f>
        <v>0</v>
      </c>
      <c r="C48" s="102">
        <f>DONNEES!C24</f>
        <v>0</v>
      </c>
      <c r="D48" s="102">
        <f>DONNEES!D24</f>
        <v>0</v>
      </c>
      <c r="E48" s="102">
        <f>DONNEES!E24</f>
        <v>0</v>
      </c>
      <c r="F48" s="102">
        <f>DONNEES!F24</f>
        <v>0</v>
      </c>
      <c r="G48" s="102">
        <f>DONNEES!G24</f>
        <v>0</v>
      </c>
      <c r="H48" s="102">
        <f>DONNEES!H24</f>
        <v>0</v>
      </c>
      <c r="I48" s="103">
        <f>DONNEES!I24</f>
        <v>0</v>
      </c>
    </row>
    <row r="49" spans="1:10" ht="21" x14ac:dyDescent="0.4">
      <c r="A49" s="100" t="str">
        <f>DONNEES!A25</f>
        <v>Facade 6</v>
      </c>
      <c r="B49" s="101">
        <f>DONNEES!B25</f>
        <v>0</v>
      </c>
      <c r="C49" s="102">
        <f>DONNEES!C25</f>
        <v>0</v>
      </c>
      <c r="D49" s="102">
        <f>DONNEES!D25</f>
        <v>0</v>
      </c>
      <c r="E49" s="102">
        <f>DONNEES!E25</f>
        <v>0</v>
      </c>
      <c r="F49" s="102">
        <f>DONNEES!F25</f>
        <v>0</v>
      </c>
      <c r="G49" s="102">
        <f>DONNEES!G25</f>
        <v>0</v>
      </c>
      <c r="H49" s="102">
        <f>DONNEES!H25</f>
        <v>0</v>
      </c>
      <c r="I49" s="103">
        <f>DONNEES!I25</f>
        <v>0</v>
      </c>
    </row>
    <row r="50" spans="1:10" ht="21" x14ac:dyDescent="0.4">
      <c r="A50" s="100" t="str">
        <f>DONNEES!A26</f>
        <v>Facade 7</v>
      </c>
      <c r="B50" s="101">
        <f>DONNEES!B26</f>
        <v>0</v>
      </c>
      <c r="C50" s="102">
        <f>DONNEES!C26</f>
        <v>0</v>
      </c>
      <c r="D50" s="102">
        <f>DONNEES!D26</f>
        <v>0</v>
      </c>
      <c r="E50" s="102">
        <f>DONNEES!E26</f>
        <v>0</v>
      </c>
      <c r="F50" s="102">
        <f>DONNEES!F26</f>
        <v>0</v>
      </c>
      <c r="G50" s="102">
        <f>DONNEES!G26</f>
        <v>0</v>
      </c>
      <c r="H50" s="102">
        <f>DONNEES!H26</f>
        <v>0</v>
      </c>
      <c r="I50" s="103">
        <f>DONNEES!I26</f>
        <v>0</v>
      </c>
    </row>
    <row r="51" spans="1:10" ht="21" x14ac:dyDescent="0.4">
      <c r="A51" s="100" t="str">
        <f>DONNEES!A27</f>
        <v>Facade 8</v>
      </c>
      <c r="B51" s="101">
        <f>DONNEES!B27</f>
        <v>0</v>
      </c>
      <c r="C51" s="102">
        <f>DONNEES!C27</f>
        <v>0</v>
      </c>
      <c r="D51" s="102">
        <f>DONNEES!D27</f>
        <v>0</v>
      </c>
      <c r="E51" s="102">
        <f>DONNEES!E27</f>
        <v>0</v>
      </c>
      <c r="F51" s="102">
        <f>DONNEES!F27</f>
        <v>0</v>
      </c>
      <c r="G51" s="102">
        <f>DONNEES!G27</f>
        <v>0</v>
      </c>
      <c r="H51" s="102">
        <f>DONNEES!H27</f>
        <v>0</v>
      </c>
      <c r="I51" s="103">
        <f>DONNEES!I27</f>
        <v>0</v>
      </c>
    </row>
    <row r="52" spans="1:10" ht="21" x14ac:dyDescent="0.4">
      <c r="A52" s="100" t="str">
        <f>DONNEES!A28</f>
        <v>Facade 9</v>
      </c>
      <c r="B52" s="101">
        <f>DONNEES!B28</f>
        <v>0</v>
      </c>
      <c r="C52" s="102">
        <f>DONNEES!C28</f>
        <v>0</v>
      </c>
      <c r="D52" s="102">
        <f>DONNEES!D28</f>
        <v>0</v>
      </c>
      <c r="E52" s="102">
        <f>DONNEES!E28</f>
        <v>0</v>
      </c>
      <c r="F52" s="102">
        <f>DONNEES!F28</f>
        <v>0</v>
      </c>
      <c r="G52" s="102">
        <f>DONNEES!G28</f>
        <v>0</v>
      </c>
      <c r="H52" s="102">
        <f>DONNEES!H28</f>
        <v>0</v>
      </c>
      <c r="I52" s="103">
        <f>DONNEES!I28</f>
        <v>0</v>
      </c>
    </row>
    <row r="53" spans="1:10" ht="21" x14ac:dyDescent="0.4">
      <c r="A53" s="100" t="str">
        <f>DONNEES!A29</f>
        <v>Facade 10</v>
      </c>
      <c r="B53" s="101">
        <f>DONNEES!B29</f>
        <v>0</v>
      </c>
      <c r="C53" s="102">
        <f>DONNEES!C29</f>
        <v>0</v>
      </c>
      <c r="D53" s="102">
        <f>DONNEES!D29</f>
        <v>0</v>
      </c>
      <c r="E53" s="102">
        <f>DONNEES!E29</f>
        <v>0</v>
      </c>
      <c r="F53" s="102">
        <f>DONNEES!F29</f>
        <v>0</v>
      </c>
      <c r="G53" s="102">
        <f>DONNEES!G29</f>
        <v>0</v>
      </c>
      <c r="H53" s="102">
        <f>DONNEES!H29</f>
        <v>0</v>
      </c>
      <c r="I53" s="103">
        <f>DONNEES!I29</f>
        <v>0</v>
      </c>
    </row>
    <row r="54" spans="1:10" ht="21" x14ac:dyDescent="0.4">
      <c r="A54" s="100" t="str">
        <f>DONNEES!A30</f>
        <v>Facade 11</v>
      </c>
      <c r="B54" s="101">
        <f>DONNEES!B30</f>
        <v>0</v>
      </c>
      <c r="C54" s="102">
        <f>DONNEES!C30</f>
        <v>0</v>
      </c>
      <c r="D54" s="102">
        <f>DONNEES!D30</f>
        <v>0</v>
      </c>
      <c r="E54" s="102">
        <f>DONNEES!E30</f>
        <v>0</v>
      </c>
      <c r="F54" s="102">
        <f>DONNEES!F30</f>
        <v>0</v>
      </c>
      <c r="G54" s="102">
        <f>DONNEES!G30</f>
        <v>0</v>
      </c>
      <c r="H54" s="102">
        <f>DONNEES!H30</f>
        <v>0</v>
      </c>
      <c r="I54" s="103">
        <f>DONNEES!I30</f>
        <v>0</v>
      </c>
    </row>
    <row r="55" spans="1:10" ht="23.4" customHeight="1" x14ac:dyDescent="0.4">
      <c r="A55" s="100" t="str">
        <f>DONNEES!A31</f>
        <v>Facade 12</v>
      </c>
      <c r="B55" s="101">
        <f>DONNEES!B31</f>
        <v>0</v>
      </c>
      <c r="C55" s="102">
        <f>DONNEES!C31</f>
        <v>0</v>
      </c>
      <c r="D55" s="102">
        <f>DONNEES!D31</f>
        <v>0</v>
      </c>
      <c r="E55" s="102">
        <f>DONNEES!E31</f>
        <v>0</v>
      </c>
      <c r="F55" s="102">
        <f>DONNEES!F31</f>
        <v>0</v>
      </c>
      <c r="G55" s="102">
        <f>DONNEES!G31</f>
        <v>0</v>
      </c>
      <c r="H55" s="102">
        <f>DONNEES!H31</f>
        <v>0</v>
      </c>
      <c r="I55" s="103">
        <f>DONNEES!I31</f>
        <v>0</v>
      </c>
    </row>
    <row r="56" spans="1:10" ht="21" x14ac:dyDescent="0.4">
      <c r="A56" s="100" t="str">
        <f>DONNEES!A32</f>
        <v>Facade 13</v>
      </c>
      <c r="B56" s="101">
        <f>DONNEES!B32</f>
        <v>0</v>
      </c>
      <c r="C56" s="102">
        <f>DONNEES!C32</f>
        <v>0</v>
      </c>
      <c r="D56" s="102">
        <f>DONNEES!D32</f>
        <v>0</v>
      </c>
      <c r="E56" s="102">
        <f>DONNEES!E32</f>
        <v>0</v>
      </c>
      <c r="F56" s="102">
        <f>DONNEES!F32</f>
        <v>0</v>
      </c>
      <c r="G56" s="102">
        <f>DONNEES!G32</f>
        <v>0</v>
      </c>
      <c r="H56" s="102">
        <f>DONNEES!H32</f>
        <v>0</v>
      </c>
      <c r="I56" s="103">
        <f>DONNEES!I32</f>
        <v>0</v>
      </c>
    </row>
    <row r="57" spans="1:10" ht="21" x14ac:dyDescent="0.4">
      <c r="A57" s="100" t="str">
        <f>DONNEES!A33</f>
        <v>Facade 14</v>
      </c>
      <c r="B57" s="101">
        <f>DONNEES!B33</f>
        <v>0</v>
      </c>
      <c r="C57" s="102">
        <f>DONNEES!C33</f>
        <v>0</v>
      </c>
      <c r="D57" s="102">
        <f>DONNEES!D33</f>
        <v>0</v>
      </c>
      <c r="E57" s="102">
        <f>DONNEES!E33</f>
        <v>0</v>
      </c>
      <c r="F57" s="102">
        <f>DONNEES!F33</f>
        <v>0</v>
      </c>
      <c r="G57" s="102">
        <f>DONNEES!G33</f>
        <v>0</v>
      </c>
      <c r="H57" s="102">
        <f>DONNEES!H33</f>
        <v>0</v>
      </c>
      <c r="I57" s="103">
        <f>DONNEES!I33</f>
        <v>0</v>
      </c>
    </row>
    <row r="58" spans="1:10" ht="21" x14ac:dyDescent="0.4">
      <c r="A58" s="100" t="str">
        <f>DONNEES!A34</f>
        <v>Facade 15</v>
      </c>
      <c r="B58" s="101">
        <f>DONNEES!B34</f>
        <v>0</v>
      </c>
      <c r="C58" s="102">
        <f>DONNEES!C34</f>
        <v>0</v>
      </c>
      <c r="D58" s="102">
        <f>DONNEES!D34</f>
        <v>0</v>
      </c>
      <c r="E58" s="102">
        <f>DONNEES!E34</f>
        <v>0</v>
      </c>
      <c r="F58" s="102">
        <f>DONNEES!F34</f>
        <v>0</v>
      </c>
      <c r="G58" s="102">
        <f>DONNEES!G34</f>
        <v>0</v>
      </c>
      <c r="H58" s="102">
        <f>DONNEES!H34</f>
        <v>0</v>
      </c>
      <c r="I58" s="103">
        <f>DONNEES!I34</f>
        <v>0</v>
      </c>
    </row>
    <row r="59" spans="1:10" ht="21" x14ac:dyDescent="0.4">
      <c r="A59" s="100" t="str">
        <f>DONNEES!A35</f>
        <v>Facade 16</v>
      </c>
      <c r="B59" s="101">
        <f>DONNEES!B35</f>
        <v>0</v>
      </c>
      <c r="C59" s="102">
        <f>DONNEES!C35</f>
        <v>0</v>
      </c>
      <c r="D59" s="102">
        <f>DONNEES!D35</f>
        <v>0</v>
      </c>
      <c r="E59" s="102">
        <f>DONNEES!E35</f>
        <v>0</v>
      </c>
      <c r="F59" s="102">
        <f>DONNEES!F35</f>
        <v>0</v>
      </c>
      <c r="G59" s="102">
        <f>DONNEES!G35</f>
        <v>0</v>
      </c>
      <c r="H59" s="102">
        <f>DONNEES!H35</f>
        <v>0</v>
      </c>
      <c r="I59" s="103">
        <f>DONNEES!I35</f>
        <v>0</v>
      </c>
    </row>
    <row r="60" spans="1:10" ht="21" x14ac:dyDescent="0.4">
      <c r="A60" s="100" t="str">
        <f>DONNEES!A36</f>
        <v>Facade 17</v>
      </c>
      <c r="B60" s="101">
        <f>DONNEES!B36</f>
        <v>0</v>
      </c>
      <c r="C60" s="102">
        <f>DONNEES!C36</f>
        <v>0</v>
      </c>
      <c r="D60" s="102">
        <f>DONNEES!D36</f>
        <v>0</v>
      </c>
      <c r="E60" s="102">
        <f>DONNEES!E36</f>
        <v>0</v>
      </c>
      <c r="F60" s="102">
        <f>DONNEES!F36</f>
        <v>0</v>
      </c>
      <c r="G60" s="102">
        <f>DONNEES!G36</f>
        <v>0</v>
      </c>
      <c r="H60" s="102">
        <f>DONNEES!H36</f>
        <v>0</v>
      </c>
      <c r="I60" s="103">
        <f>DONNEES!I36</f>
        <v>0</v>
      </c>
    </row>
    <row r="61" spans="1:10" ht="21" x14ac:dyDescent="0.4">
      <c r="A61" s="100" t="str">
        <f>DONNEES!A37</f>
        <v>Facade 18</v>
      </c>
      <c r="B61" s="101">
        <f>DONNEES!B37</f>
        <v>0</v>
      </c>
      <c r="C61" s="102">
        <f>DONNEES!C37</f>
        <v>0</v>
      </c>
      <c r="D61" s="102">
        <f>DONNEES!D37</f>
        <v>0</v>
      </c>
      <c r="E61" s="102">
        <f>DONNEES!E37</f>
        <v>0</v>
      </c>
      <c r="F61" s="102">
        <f>DONNEES!F37</f>
        <v>0</v>
      </c>
      <c r="G61" s="102">
        <f>DONNEES!G37</f>
        <v>0</v>
      </c>
      <c r="H61" s="102">
        <f>DONNEES!H37</f>
        <v>0</v>
      </c>
      <c r="I61" s="103">
        <f>DONNEES!I37</f>
        <v>0</v>
      </c>
    </row>
    <row r="62" spans="1:10" ht="21" x14ac:dyDescent="0.4">
      <c r="A62" s="100" t="str">
        <f>DONNEES!A38</f>
        <v>Facade 19</v>
      </c>
      <c r="B62" s="101">
        <f>DONNEES!B38</f>
        <v>0</v>
      </c>
      <c r="C62" s="102">
        <f>DONNEES!C38</f>
        <v>0</v>
      </c>
      <c r="D62" s="102">
        <f>DONNEES!D38</f>
        <v>0</v>
      </c>
      <c r="E62" s="102">
        <f>DONNEES!E38</f>
        <v>0</v>
      </c>
      <c r="F62" s="102">
        <f>DONNEES!F38</f>
        <v>0</v>
      </c>
      <c r="G62" s="102">
        <f>DONNEES!G38</f>
        <v>0</v>
      </c>
      <c r="H62" s="102">
        <f>DONNEES!H38</f>
        <v>0</v>
      </c>
      <c r="I62" s="103">
        <f>DONNEES!I38</f>
        <v>0</v>
      </c>
      <c r="J62" s="47"/>
    </row>
    <row r="63" spans="1:10" ht="21.6" thickBot="1" x14ac:dyDescent="0.45">
      <c r="A63" s="104" t="str">
        <f>DONNEES!A39</f>
        <v>Facade 20</v>
      </c>
      <c r="B63" s="101">
        <f>DONNEES!B39</f>
        <v>0</v>
      </c>
      <c r="C63" s="102">
        <f>DONNEES!C39</f>
        <v>0</v>
      </c>
      <c r="D63" s="102">
        <f>DONNEES!D39</f>
        <v>0</v>
      </c>
      <c r="E63" s="102">
        <f>DONNEES!E39</f>
        <v>0</v>
      </c>
      <c r="F63" s="102">
        <f>DONNEES!F39</f>
        <v>0</v>
      </c>
      <c r="G63" s="102">
        <f>DONNEES!G39</f>
        <v>0</v>
      </c>
      <c r="H63" s="102">
        <f>DONNEES!H39</f>
        <v>0</v>
      </c>
      <c r="I63" s="103">
        <f>DONNEES!I39</f>
        <v>0</v>
      </c>
    </row>
    <row r="64" spans="1:10" ht="21" x14ac:dyDescent="0.4">
      <c r="A64" s="105"/>
      <c r="B64" s="105"/>
      <c r="C64" s="105"/>
      <c r="D64" s="105"/>
      <c r="E64" s="105"/>
      <c r="F64" s="105"/>
      <c r="G64" s="105"/>
      <c r="H64" s="105"/>
      <c r="I64" s="106"/>
    </row>
    <row r="65" spans="1:10" ht="21" x14ac:dyDescent="0.4">
      <c r="A65" s="105"/>
      <c r="B65" s="105"/>
      <c r="C65" s="105"/>
      <c r="D65" s="105"/>
      <c r="E65" s="105"/>
      <c r="F65" s="105"/>
      <c r="G65" s="105"/>
      <c r="H65" s="105"/>
      <c r="I65" s="106"/>
    </row>
    <row r="66" spans="1:10" ht="21" x14ac:dyDescent="0.4">
      <c r="A66" s="105"/>
      <c r="B66" s="105"/>
      <c r="C66" s="105"/>
      <c r="D66" s="105"/>
      <c r="E66" s="105"/>
      <c r="F66" s="105"/>
      <c r="G66" s="105"/>
      <c r="H66" s="47"/>
      <c r="I66" s="107"/>
    </row>
    <row r="67" spans="1:10" ht="40.200000000000003" customHeight="1" x14ac:dyDescent="0.3">
      <c r="A67" s="185" t="s">
        <v>137</v>
      </c>
      <c r="B67" s="186"/>
      <c r="C67" s="186"/>
      <c r="D67" s="186"/>
      <c r="E67" s="186"/>
      <c r="F67" s="186"/>
      <c r="G67" s="186"/>
      <c r="H67" s="186"/>
      <c r="I67" s="187"/>
    </row>
    <row r="68" spans="1:10" ht="40.200000000000003" customHeight="1" x14ac:dyDescent="0.3">
      <c r="A68" s="108"/>
      <c r="B68" s="108"/>
      <c r="C68" s="108"/>
      <c r="D68" s="108"/>
      <c r="E68" s="108"/>
      <c r="F68" s="108"/>
      <c r="G68" s="108"/>
      <c r="H68" s="108"/>
      <c r="I68" s="108"/>
    </row>
    <row r="69" spans="1:10" ht="61.8" customHeight="1" x14ac:dyDescent="0.4">
      <c r="A69" s="105"/>
      <c r="B69" s="109" t="str">
        <f>DONNEES!G15</f>
        <v>Entraxe horizontal en angle MAXIMUM (cm) :</v>
      </c>
      <c r="C69" s="103">
        <f>DONNEES!G16</f>
        <v>90</v>
      </c>
      <c r="D69" s="47"/>
      <c r="E69" s="47"/>
      <c r="F69" s="105"/>
      <c r="G69" s="103" t="s">
        <v>130</v>
      </c>
      <c r="H69" s="103">
        <f>VLOOKUP(C71,correspondance!W2:X33,2,FALSE)</f>
        <v>75</v>
      </c>
      <c r="I69" s="107"/>
    </row>
    <row r="70" spans="1:10" ht="69" customHeight="1" x14ac:dyDescent="0.3">
      <c r="A70" s="110"/>
      <c r="B70" s="111" t="str">
        <f>DONNEES!H15</f>
        <v>Entraxe horizontal en partie pleine MAXIMUM (cm) :</v>
      </c>
      <c r="C70" s="99">
        <f>DONNEES!H16</f>
        <v>135</v>
      </c>
      <c r="F70" s="110"/>
      <c r="G70" s="111" t="s">
        <v>203</v>
      </c>
      <c r="H70" s="103">
        <f>ROUNDUP((C72/H69),0)</f>
        <v>6</v>
      </c>
      <c r="I70" s="107"/>
    </row>
    <row r="71" spans="1:10" ht="21" x14ac:dyDescent="0.4">
      <c r="A71" s="112"/>
      <c r="B71" s="103" t="str">
        <f>DONNEES!F15</f>
        <v>Code FM Equerre :</v>
      </c>
      <c r="C71" s="103" t="str">
        <f>DONNEES!F16</f>
        <v>QSFEQ2102/C100</v>
      </c>
      <c r="F71" s="112"/>
      <c r="G71" s="103" t="s">
        <v>204</v>
      </c>
      <c r="H71" s="113">
        <f>VLOOKUP(C71,correspondance!W2:AH33,12,FALSE)</f>
        <v>65.227499999999992</v>
      </c>
    </row>
    <row r="72" spans="1:10" ht="21" x14ac:dyDescent="0.4">
      <c r="A72" s="112"/>
      <c r="B72" s="103" t="s">
        <v>134</v>
      </c>
      <c r="C72" s="103">
        <f>DONNEES!I40</f>
        <v>399</v>
      </c>
      <c r="F72" s="112"/>
      <c r="G72" s="103" t="s">
        <v>205</v>
      </c>
      <c r="H72" s="114">
        <f>H71*H70</f>
        <v>391.36499999999995</v>
      </c>
    </row>
    <row r="73" spans="1:10" ht="42" x14ac:dyDescent="0.4">
      <c r="A73" s="112"/>
      <c r="B73" s="112"/>
      <c r="C73" s="112"/>
      <c r="F73" s="112"/>
      <c r="G73" s="109" t="s">
        <v>138</v>
      </c>
      <c r="H73" s="115">
        <v>45</v>
      </c>
    </row>
    <row r="74" spans="1:10" ht="42.6" customHeight="1" x14ac:dyDescent="0.4">
      <c r="A74" s="112"/>
      <c r="B74" s="112"/>
      <c r="C74" s="112"/>
      <c r="F74" s="112"/>
      <c r="G74" s="105"/>
    </row>
    <row r="75" spans="1:10" x14ac:dyDescent="0.3">
      <c r="A75" s="47"/>
      <c r="B75" s="47"/>
      <c r="C75" s="47"/>
      <c r="F75" s="47"/>
    </row>
    <row r="76" spans="1:10" ht="15" thickBot="1" x14ac:dyDescent="0.35">
      <c r="A76" s="47"/>
      <c r="B76" s="47"/>
      <c r="C76" s="47"/>
      <c r="F76" s="47"/>
    </row>
    <row r="77" spans="1:10" ht="67.95" customHeight="1" thickBot="1" x14ac:dyDescent="0.35">
      <c r="A77" s="47"/>
      <c r="B77" s="47"/>
      <c r="C77" s="47"/>
      <c r="F77" s="47"/>
      <c r="G77" s="109" t="s">
        <v>206</v>
      </c>
      <c r="H77" s="116">
        <f>H72*(1-(H73/100))</f>
        <v>215.25074999999998</v>
      </c>
      <c r="J77" s="47"/>
    </row>
    <row r="78" spans="1:10" x14ac:dyDescent="0.3">
      <c r="A78" s="47"/>
      <c r="B78" s="47"/>
      <c r="C78" s="47"/>
      <c r="F78" s="47"/>
      <c r="J78" s="117"/>
    </row>
    <row r="79" spans="1:10" x14ac:dyDescent="0.3">
      <c r="J79" s="47"/>
    </row>
    <row r="80" spans="1:10" x14ac:dyDescent="0.3">
      <c r="I80" s="107"/>
    </row>
  </sheetData>
  <sheetProtection password="CC9D" sheet="1" objects="1" scenarios="1"/>
  <mergeCells count="12">
    <mergeCell ref="B24:C24"/>
    <mergeCell ref="B25:C25"/>
    <mergeCell ref="E23:I27"/>
    <mergeCell ref="A39:I39"/>
    <mergeCell ref="A67:I67"/>
    <mergeCell ref="B30:E30"/>
    <mergeCell ref="B31:E31"/>
    <mergeCell ref="B33:F33"/>
    <mergeCell ref="B34:I34"/>
    <mergeCell ref="B35:C35"/>
    <mergeCell ref="A37:A38"/>
    <mergeCell ref="B37:I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>&amp;COFFRE DE PRIX :
EQUERRES DE BARDAGE&amp;R02.IM.xx</oddHeader>
    <oddFooter>&amp;LFRENEHARD &amp; MICHAUX - BP 171 - 61305 L'AIGLE CEDEX&amp;CNom et signature du représentant F&amp;M :&amp;RINNOVER &amp; DURER</oddFoot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DONNEES</vt:lpstr>
      <vt:lpstr>correspondance</vt:lpstr>
      <vt:lpstr>menu</vt:lpstr>
      <vt:lpstr>calcul</vt:lpstr>
      <vt:lpstr>DEVIS</vt:lpstr>
      <vt:lpstr>angle</vt:lpstr>
      <vt:lpstr>entraxe</vt:lpstr>
      <vt:lpstr>expo</vt:lpstr>
      <vt:lpstr>exposition</vt:lpstr>
      <vt:lpstr>fleche</vt:lpstr>
      <vt:lpstr>hauteur</vt:lpstr>
      <vt:lpstr>tasseaux</vt:lpstr>
      <vt:lpstr>zone</vt:lpstr>
      <vt:lpstr>DEVIS!Zone_d_impression</vt:lpstr>
      <vt:lpstr>DONNEES!Zone_d_impression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Arnaud DELOY</dc:creator>
  <cp:lastModifiedBy>Servan LAMBLA</cp:lastModifiedBy>
  <cp:lastPrinted>2016-01-05T15:28:06Z</cp:lastPrinted>
  <dcterms:created xsi:type="dcterms:W3CDTF">2015-12-07T07:50:15Z</dcterms:created>
  <dcterms:modified xsi:type="dcterms:W3CDTF">2016-02-04T16:57:33Z</dcterms:modified>
</cp:coreProperties>
</file>